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B0A3BD3-6BAE-4C4B-8A90-95E03F2A6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 вид" sheetId="1" r:id="rId1"/>
  </sheets>
  <definedNames>
    <definedName name="Z_EBC24015_BDAE_4979_A49F_AD3A852B863B_.wvu.FilterData" localSheetId="0" hidden="1">'Общий вид'!$D$1:$D$468</definedName>
    <definedName name="Z_F2316398_B840_49F0_A7DF_9B65DA83C9FC_.wvu.FilterData" localSheetId="0" hidden="1">'Общий вид'!$D$1</definedName>
  </definedNames>
  <calcPr calcId="191029"/>
  <customWorkbookViews>
    <customWorkbookView name="Фильтр 2" guid="{F2316398-B840-49F0-A7DF-9B65DA83C9FC}" maximized="1" windowWidth="0" windowHeight="0" activeSheetId="0"/>
    <customWorkbookView name="Фильтр 1" guid="{EBC24015-BDAE-4979-A49F-AD3A852B863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0" i="1" l="1"/>
  <c r="B499" i="1"/>
  <c r="B498" i="1"/>
  <c r="A498" i="1"/>
  <c r="B497" i="1"/>
  <c r="B496" i="1"/>
  <c r="A496" i="1"/>
  <c r="B495" i="1"/>
  <c r="A495" i="1"/>
  <c r="B494" i="1"/>
  <c r="A494" i="1"/>
  <c r="B493" i="1"/>
  <c r="B492" i="1"/>
  <c r="A492" i="1"/>
  <c r="B491" i="1"/>
  <c r="A491" i="1"/>
  <c r="B490" i="1"/>
  <c r="A490" i="1"/>
  <c r="B489" i="1"/>
  <c r="A489" i="1"/>
  <c r="B488" i="1"/>
  <c r="A488" i="1"/>
  <c r="A486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A456" i="1"/>
  <c r="B455" i="1"/>
  <c r="A455" i="1"/>
  <c r="B454" i="1"/>
  <c r="A454" i="1"/>
  <c r="A453" i="1"/>
  <c r="B452" i="1"/>
  <c r="A452" i="1"/>
  <c r="B451" i="1"/>
  <c r="A451" i="1"/>
  <c r="B450" i="1"/>
  <c r="A450" i="1"/>
  <c r="A449" i="1"/>
  <c r="B448" i="1"/>
  <c r="A448" i="1"/>
  <c r="B447" i="1"/>
  <c r="A447" i="1"/>
  <c r="B446" i="1"/>
  <c r="A446" i="1"/>
  <c r="B445" i="1"/>
  <c r="A445" i="1"/>
  <c r="B444" i="1"/>
  <c r="A444" i="1"/>
  <c r="A443" i="1"/>
  <c r="B442" i="1"/>
  <c r="A442" i="1"/>
  <c r="A441" i="1"/>
  <c r="B440" i="1"/>
  <c r="A440" i="1"/>
  <c r="B439" i="1"/>
  <c r="A439" i="1"/>
  <c r="A438" i="1"/>
  <c r="B437" i="1"/>
  <c r="A437" i="1"/>
  <c r="B436" i="1"/>
  <c r="A436" i="1"/>
  <c r="A435" i="1"/>
  <c r="A434" i="1"/>
  <c r="B433" i="1"/>
  <c r="A433" i="1"/>
  <c r="B432" i="1"/>
  <c r="A432" i="1"/>
  <c r="B431" i="1"/>
  <c r="A431" i="1"/>
  <c r="A430" i="1"/>
  <c r="B429" i="1"/>
  <c r="A429" i="1"/>
  <c r="A428" i="1"/>
  <c r="B427" i="1"/>
  <c r="A427" i="1"/>
  <c r="B426" i="1"/>
  <c r="A426" i="1"/>
  <c r="A425" i="1"/>
  <c r="A424" i="1"/>
  <c r="B423" i="1"/>
  <c r="A423" i="1"/>
  <c r="B422" i="1"/>
  <c r="A422" i="1"/>
  <c r="A421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B379" i="1"/>
  <c r="A379" i="1"/>
  <c r="B378" i="1"/>
  <c r="A378" i="1"/>
  <c r="B377" i="1"/>
  <c r="A377" i="1"/>
  <c r="B376" i="1"/>
  <c r="A376" i="1"/>
  <c r="B375" i="1"/>
  <c r="A375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A366" i="1"/>
  <c r="B365" i="1"/>
  <c r="A365" i="1"/>
  <c r="B364" i="1"/>
  <c r="A364" i="1"/>
  <c r="B363" i="1"/>
  <c r="A363" i="1"/>
  <c r="B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A343" i="1"/>
  <c r="A342" i="1"/>
  <c r="B341" i="1"/>
  <c r="A341" i="1"/>
  <c r="B340" i="1"/>
  <c r="A340" i="1"/>
  <c r="B339" i="1"/>
  <c r="A339" i="1"/>
  <c r="B338" i="1"/>
  <c r="A338" i="1"/>
  <c r="A337" i="1"/>
  <c r="B336" i="1"/>
  <c r="A336" i="1"/>
  <c r="B335" i="1"/>
  <c r="A335" i="1"/>
  <c r="B334" i="1"/>
  <c r="A334" i="1"/>
  <c r="B333" i="1"/>
  <c r="A333" i="1"/>
  <c r="A332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A312" i="1"/>
  <c r="B311" i="1"/>
  <c r="A311" i="1"/>
  <c r="A310" i="1"/>
  <c r="B309" i="1"/>
  <c r="A309" i="1"/>
  <c r="B308" i="1"/>
  <c r="A308" i="1"/>
  <c r="A307" i="1"/>
  <c r="B306" i="1"/>
  <c r="A306" i="1"/>
  <c r="B305" i="1"/>
  <c r="A305" i="1"/>
  <c r="A304" i="1"/>
  <c r="B303" i="1"/>
  <c r="A303" i="1"/>
  <c r="A302" i="1"/>
  <c r="B301" i="1"/>
  <c r="A301" i="1"/>
  <c r="B300" i="1"/>
  <c r="A300" i="1"/>
  <c r="B299" i="1"/>
  <c r="A299" i="1"/>
  <c r="A298" i="1"/>
  <c r="A297" i="1"/>
  <c r="B296" i="1"/>
  <c r="A296" i="1"/>
  <c r="A295" i="1"/>
  <c r="B294" i="1"/>
  <c r="A294" i="1"/>
  <c r="A293" i="1"/>
  <c r="B292" i="1"/>
  <c r="A292" i="1"/>
  <c r="A291" i="1"/>
  <c r="B290" i="1"/>
  <c r="A290" i="1"/>
  <c r="B289" i="1"/>
  <c r="A289" i="1"/>
  <c r="A288" i="1"/>
  <c r="B287" i="1"/>
  <c r="A287" i="1"/>
  <c r="B286" i="1"/>
  <c r="A286" i="1"/>
  <c r="B285" i="1"/>
  <c r="A285" i="1"/>
  <c r="B284" i="1"/>
  <c r="A284" i="1"/>
  <c r="A283" i="1"/>
  <c r="B282" i="1"/>
  <c r="A282" i="1"/>
  <c r="A281" i="1"/>
  <c r="B280" i="1"/>
  <c r="B279" i="1"/>
  <c r="A279" i="1"/>
  <c r="B278" i="1"/>
  <c r="A278" i="1"/>
  <c r="B277" i="1"/>
  <c r="A277" i="1"/>
  <c r="A276" i="1"/>
  <c r="B275" i="1"/>
  <c r="A275" i="1"/>
  <c r="B274" i="1"/>
  <c r="A274" i="1"/>
  <c r="B273" i="1"/>
  <c r="A273" i="1"/>
  <c r="B272" i="1"/>
  <c r="B271" i="1"/>
  <c r="B270" i="1"/>
  <c r="A270" i="1"/>
  <c r="B269" i="1"/>
  <c r="A269" i="1"/>
  <c r="A268" i="1"/>
  <c r="A267" i="1"/>
  <c r="B266" i="1"/>
  <c r="A266" i="1"/>
  <c r="A265" i="1"/>
  <c r="B264" i="1"/>
  <c r="A264" i="1"/>
  <c r="B263" i="1"/>
  <c r="A263" i="1"/>
  <c r="B262" i="1"/>
  <c r="A262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A254" i="1"/>
  <c r="B253" i="1"/>
  <c r="A253" i="1"/>
  <c r="B252" i="1"/>
  <c r="A252" i="1"/>
  <c r="B251" i="1"/>
  <c r="A250" i="1"/>
  <c r="B249" i="1"/>
  <c r="A249" i="1"/>
  <c r="B248" i="1"/>
  <c r="A248" i="1"/>
  <c r="A247" i="1"/>
  <c r="B246" i="1"/>
  <c r="A246" i="1"/>
  <c r="A245" i="1"/>
  <c r="B244" i="1"/>
  <c r="A244" i="1"/>
  <c r="A243" i="1"/>
  <c r="B242" i="1"/>
  <c r="A242" i="1"/>
  <c r="B241" i="1"/>
  <c r="A241" i="1"/>
  <c r="A240" i="1"/>
  <c r="B239" i="1"/>
  <c r="A239" i="1"/>
  <c r="B238" i="1"/>
  <c r="A238" i="1"/>
  <c r="B237" i="1"/>
  <c r="A237" i="1"/>
  <c r="A236" i="1"/>
  <c r="B235" i="1"/>
  <c r="A235" i="1"/>
  <c r="B234" i="1"/>
  <c r="A234" i="1"/>
  <c r="B233" i="1"/>
  <c r="A233" i="1"/>
  <c r="B232" i="1"/>
  <c r="A232" i="1"/>
  <c r="A231" i="1"/>
  <c r="A230" i="1"/>
  <c r="A229" i="1"/>
  <c r="B228" i="1"/>
  <c r="A228" i="1"/>
  <c r="B227" i="1"/>
  <c r="A227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A204" i="1"/>
  <c r="B203" i="1"/>
  <c r="A203" i="1"/>
  <c r="A202" i="1"/>
  <c r="A201" i="1"/>
  <c r="B200" i="1"/>
  <c r="A200" i="1"/>
  <c r="A199" i="1"/>
  <c r="B198" i="1"/>
  <c r="A198" i="1"/>
  <c r="A197" i="1"/>
  <c r="B196" i="1"/>
  <c r="A196" i="1"/>
  <c r="A195" i="1"/>
  <c r="B194" i="1"/>
  <c r="A194" i="1"/>
  <c r="B193" i="1"/>
  <c r="A193" i="1"/>
  <c r="B192" i="1"/>
  <c r="A192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A167" i="1"/>
  <c r="B166" i="1"/>
  <c r="A166" i="1"/>
  <c r="A165" i="1"/>
  <c r="B164" i="1"/>
  <c r="A164" i="1"/>
  <c r="B163" i="1"/>
  <c r="A163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A155" i="1"/>
  <c r="B154" i="1"/>
  <c r="A154" i="1"/>
  <c r="B153" i="1"/>
  <c r="A153" i="1"/>
  <c r="B152" i="1"/>
  <c r="A152" i="1"/>
  <c r="B151" i="1"/>
  <c r="A151" i="1"/>
  <c r="B150" i="1"/>
  <c r="A150" i="1"/>
  <c r="A149" i="1"/>
  <c r="B148" i="1"/>
  <c r="A148" i="1"/>
  <c r="B147" i="1"/>
  <c r="A147" i="1"/>
  <c r="B146" i="1"/>
  <c r="A146" i="1"/>
  <c r="B145" i="1"/>
  <c r="A145" i="1"/>
  <c r="B144" i="1"/>
  <c r="A144" i="1"/>
  <c r="A143" i="1"/>
  <c r="B142" i="1"/>
  <c r="A142" i="1"/>
  <c r="B141" i="1"/>
  <c r="A141" i="1"/>
  <c r="A140" i="1"/>
  <c r="B139" i="1"/>
  <c r="A139" i="1"/>
  <c r="B138" i="1"/>
  <c r="A138" i="1"/>
  <c r="A137" i="1"/>
  <c r="B136" i="1"/>
  <c r="A136" i="1"/>
  <c r="B135" i="1"/>
  <c r="A135" i="1"/>
  <c r="B134" i="1"/>
  <c r="A134" i="1"/>
  <c r="B133" i="1"/>
  <c r="A133" i="1"/>
  <c r="B132" i="1"/>
  <c r="A132" i="1"/>
  <c r="A131" i="1"/>
  <c r="B130" i="1"/>
  <c r="A130" i="1"/>
  <c r="B129" i="1"/>
  <c r="A129" i="1"/>
  <c r="A128" i="1"/>
  <c r="B127" i="1"/>
  <c r="A127" i="1"/>
  <c r="B126" i="1"/>
  <c r="A126" i="1"/>
  <c r="B125" i="1"/>
  <c r="A125" i="1"/>
  <c r="A124" i="1"/>
  <c r="A123" i="1"/>
  <c r="B122" i="1"/>
  <c r="A122" i="1"/>
  <c r="B121" i="1"/>
  <c r="A121" i="1"/>
  <c r="B120" i="1"/>
  <c r="A120" i="1"/>
  <c r="B119" i="1"/>
  <c r="A119" i="1"/>
  <c r="A118" i="1"/>
  <c r="B117" i="1"/>
  <c r="A117" i="1"/>
  <c r="B116" i="1"/>
  <c r="A116" i="1"/>
  <c r="A115" i="1"/>
  <c r="B114" i="1"/>
  <c r="A114" i="1"/>
  <c r="B113" i="1"/>
  <c r="A113" i="1"/>
  <c r="A112" i="1"/>
  <c r="A111" i="1"/>
  <c r="B110" i="1"/>
  <c r="A110" i="1"/>
  <c r="B109" i="1"/>
  <c r="A109" i="1"/>
  <c r="A108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A94" i="1"/>
  <c r="A93" i="1"/>
  <c r="B92" i="1"/>
  <c r="A92" i="1"/>
  <c r="B91" i="1"/>
  <c r="A91" i="1"/>
  <c r="B90" i="1"/>
  <c r="A90" i="1"/>
  <c r="A89" i="1"/>
  <c r="B88" i="1"/>
  <c r="A88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A78" i="1"/>
  <c r="A77" i="1"/>
  <c r="B76" i="1"/>
  <c r="A76" i="1"/>
  <c r="A75" i="1"/>
  <c r="B74" i="1"/>
  <c r="A74" i="1"/>
  <c r="B73" i="1"/>
  <c r="A73" i="1"/>
  <c r="A72" i="1"/>
  <c r="B71" i="1"/>
  <c r="A71" i="1"/>
  <c r="B70" i="1"/>
  <c r="A70" i="1"/>
  <c r="B69" i="1"/>
  <c r="A69" i="1"/>
  <c r="A68" i="1"/>
  <c r="B67" i="1"/>
  <c r="A67" i="1"/>
  <c r="B66" i="1"/>
  <c r="A66" i="1"/>
  <c r="B65" i="1"/>
  <c r="A65" i="1"/>
  <c r="A64" i="1"/>
  <c r="A63" i="1"/>
  <c r="B62" i="1"/>
  <c r="A62" i="1"/>
  <c r="A61" i="1"/>
  <c r="B60" i="1"/>
  <c r="A60" i="1"/>
  <c r="A59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A38" i="1"/>
  <c r="B37" i="1"/>
  <c r="A37" i="1"/>
  <c r="B36" i="1"/>
  <c r="A36" i="1"/>
  <c r="A35" i="1"/>
  <c r="B34" i="1"/>
  <c r="A34" i="1"/>
  <c r="A33" i="1"/>
  <c r="B32" i="1"/>
  <c r="A32" i="1"/>
  <c r="B31" i="1"/>
  <c r="A31" i="1"/>
  <c r="B30" i="1"/>
  <c r="A30" i="1"/>
  <c r="B29" i="1"/>
  <c r="A29" i="1"/>
  <c r="A28" i="1"/>
  <c r="B27" i="1"/>
  <c r="A27" i="1"/>
  <c r="B26" i="1"/>
  <c r="A26" i="1"/>
  <c r="B25" i="1"/>
  <c r="A25" i="1"/>
  <c r="B24" i="1"/>
  <c r="A24" i="1"/>
  <c r="A23" i="1"/>
  <c r="B22" i="1"/>
  <c r="A22" i="1"/>
  <c r="B21" i="1"/>
  <c r="A21" i="1"/>
  <c r="B20" i="1"/>
  <c r="A20" i="1"/>
  <c r="B19" i="1"/>
  <c r="A19" i="1"/>
  <c r="A18" i="1"/>
  <c r="A17" i="1"/>
  <c r="B16" i="1"/>
  <c r="A16" i="1"/>
  <c r="A15" i="1"/>
  <c r="B14" i="1"/>
  <c r="A14" i="1"/>
  <c r="A13" i="1"/>
  <c r="B12" i="1"/>
  <c r="A12" i="1"/>
  <c r="B11" i="1"/>
  <c r="A11" i="1"/>
  <c r="B10" i="1"/>
  <c r="A10" i="1"/>
  <c r="B9" i="1"/>
  <c r="A9" i="1"/>
  <c r="B8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<sst xmlns="http://schemas.openxmlformats.org/spreadsheetml/2006/main" count="67" uniqueCount="17">
  <si>
    <t>117208, Москва, Сумской проезд д.7 корп.1
Тел. 8(495)311-6329, 8(800)101-80-95. www.sheldy.ru, email:info@sheldy.ru</t>
  </si>
  <si>
    <t xml:space="preserve">Цены указаны с НДС в рублях РФ. </t>
  </si>
  <si>
    <t>Наличие</t>
  </si>
  <si>
    <t>Информация по наличию</t>
  </si>
  <si>
    <t>Артикул</t>
  </si>
  <si>
    <t>Название товара</t>
  </si>
  <si>
    <t>30000</t>
  </si>
  <si>
    <t>17990</t>
  </si>
  <si>
    <t>19990</t>
  </si>
  <si>
    <t>22990</t>
  </si>
  <si>
    <t>39990</t>
  </si>
  <si>
    <t>44990</t>
  </si>
  <si>
    <t>47990</t>
  </si>
  <si>
    <t>55490</t>
  </si>
  <si>
    <t>19740</t>
  </si>
  <si>
    <t>Ожидается</t>
  </si>
  <si>
    <t xml:space="preserve"> Розничный прайс лист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</si>
</sst>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"/>
  </numFmts>
  <fonts count="17" x14ac:knownFonts="1">
    <font>
      <sz val="10"/>
      <color rgb="FF000000"/>
      <name val="Arial"/>
      <scheme val="minor"/>
    </font>
    <font>
      <b/>
      <sz val="13"/>
      <color rgb="FF434343"/>
      <name val="Roboto"/>
    </font>
    <font>
      <b/>
      <u/>
      <sz val="15"/>
      <color rgb="FF434343"/>
      <name val="Roboto"/>
    </font>
    <font>
      <b/>
      <sz val="13"/>
      <color theme="1"/>
      <name val="Roboto"/>
    </font>
    <font>
      <b/>
      <sz val="18"/>
      <color rgb="FF434343"/>
      <name val="Roboto"/>
    </font>
    <font>
      <b/>
      <sz val="15"/>
      <color rgb="FF434343"/>
      <name val="Roboto"/>
    </font>
    <font>
      <sz val="10"/>
      <color rgb="FF434343"/>
      <name val="Arial"/>
    </font>
    <font>
      <b/>
      <sz val="15"/>
      <color theme="1"/>
      <name val="Roboto"/>
    </font>
    <font>
      <b/>
      <sz val="14"/>
      <color rgb="FFFFFFFF"/>
      <name val="Roboto"/>
    </font>
    <font>
      <sz val="10"/>
      <name val="Arial"/>
    </font>
    <font>
      <sz val="14"/>
      <color theme="1"/>
      <name val="Roboto"/>
    </font>
    <font>
      <b/>
      <sz val="11"/>
      <color theme="1"/>
      <name val="Roboto"/>
    </font>
    <font>
      <b/>
      <sz val="12"/>
      <color rgb="FF434343"/>
      <name val="Roboto"/>
    </font>
    <font>
      <b/>
      <sz val="13"/>
      <color rgb="FF434343"/>
      <name val="Arial"/>
    </font>
    <font>
      <b/>
      <sz val="13"/>
      <color rgb="FF262626"/>
      <name val="Roboto"/>
    </font>
    <font>
      <b/>
      <sz val="13"/>
      <color rgb="FF000000"/>
      <name val="Roboto"/>
    </font>
    <font>
      <b/>
      <sz val="13"/>
      <color rgb="FF434343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B7E1CD"/>
        <bgColor rgb="FFB7E1CD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5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1"/>
    </xf>
    <xf numFmtId="0" fontId="1" fillId="7" borderId="6" xfId="0" applyFont="1" applyFill="1" applyBorder="1" applyAlignment="1">
      <alignment horizontal="left" vertical="center" wrapText="1" indent="1"/>
    </xf>
    <xf numFmtId="0" fontId="1" fillId="5" borderId="6" xfId="0" applyFont="1" applyFill="1" applyBorder="1" applyAlignment="1">
      <alignment horizontal="left" vertical="center" wrapText="1" indent="1"/>
    </xf>
    <xf numFmtId="0" fontId="1" fillId="6" borderId="6" xfId="0" applyFont="1" applyFill="1" applyBorder="1" applyAlignment="1">
      <alignment horizontal="left" vertical="center" wrapText="1" indent="1"/>
    </xf>
    <xf numFmtId="0" fontId="12" fillId="6" borderId="6" xfId="0" applyFont="1" applyFill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wrapText="1" indent="1"/>
    </xf>
    <xf numFmtId="0" fontId="1" fillId="0" borderId="6" xfId="0" applyFont="1" applyBorder="1" applyAlignment="1">
      <alignment horizontal="left" vertical="top" wrapText="1" indent="1"/>
    </xf>
    <xf numFmtId="0" fontId="14" fillId="6" borderId="6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wrapText="1" indent="1"/>
    </xf>
    <xf numFmtId="0" fontId="1" fillId="6" borderId="10" xfId="0" applyFont="1" applyFill="1" applyBorder="1" applyAlignment="1">
      <alignment horizontal="left" wrapText="1" indent="1"/>
    </xf>
    <xf numFmtId="0" fontId="1" fillId="6" borderId="6" xfId="0" applyFont="1" applyFill="1" applyBorder="1" applyAlignment="1">
      <alignment horizontal="left" wrapText="1" indent="1"/>
    </xf>
    <xf numFmtId="164" fontId="1" fillId="6" borderId="6" xfId="0" applyNumberFormat="1" applyFont="1" applyFill="1" applyBorder="1" applyAlignment="1">
      <alignment horizontal="left" vertical="center" wrapText="1" indent="1"/>
    </xf>
    <xf numFmtId="0" fontId="15" fillId="6" borderId="6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3" fillId="6" borderId="6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indent="1"/>
    </xf>
    <xf numFmtId="0" fontId="1" fillId="6" borderId="7" xfId="0" applyFont="1" applyFill="1" applyBorder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3" fillId="6" borderId="6" xfId="0" applyFont="1" applyFill="1" applyBorder="1" applyAlignment="1">
      <alignment horizontal="left" wrapText="1" indent="1"/>
    </xf>
    <xf numFmtId="0" fontId="3" fillId="3" borderId="7" xfId="0" applyFont="1" applyFill="1" applyBorder="1" applyAlignment="1">
      <alignment horizontal="left" wrapText="1" indent="1"/>
    </xf>
    <xf numFmtId="0" fontId="3" fillId="6" borderId="7" xfId="0" applyFont="1" applyFill="1" applyBorder="1" applyAlignment="1">
      <alignment horizontal="left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0" fontId="0" fillId="0" borderId="0" xfId="0" applyFont="1" applyAlignment="1">
      <alignment horizontal="left" inden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164" fontId="1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3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/>
    <xf numFmtId="0" fontId="9" fillId="5" borderId="8" xfId="0" applyFont="1" applyFill="1" applyBorder="1"/>
    <xf numFmtId="0" fontId="9" fillId="7" borderId="8" xfId="0" applyFont="1" applyFill="1" applyBorder="1"/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8225" cy="6477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heldy.ru/contac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973"/>
  <sheetViews>
    <sheetView tabSelected="1" zoomScale="75" zoomScaleNormal="75" workbookViewId="0">
      <pane ySplit="3" topLeftCell="A22" activePane="bottomLeft" state="frozen"/>
      <selection pane="bottomLeft" activeCell="F24" sqref="F24"/>
    </sheetView>
  </sheetViews>
  <sheetFormatPr defaultColWidth="12.5703125" defaultRowHeight="15.75" customHeight="1" outlineLevelRow="1" x14ac:dyDescent="0.2"/>
  <cols>
    <col min="1" max="1" width="17.85546875" customWidth="1"/>
    <col min="2" max="2" width="104.85546875" style="111" customWidth="1"/>
    <col min="3" max="3" width="22.85546875" customWidth="1"/>
    <col min="4" max="4" width="21.140625" hidden="1" customWidth="1"/>
  </cols>
  <sheetData>
    <row r="1" spans="1:4" ht="51" customHeight="1" x14ac:dyDescent="0.2">
      <c r="A1" s="1"/>
      <c r="B1" s="2" t="s">
        <v>0</v>
      </c>
      <c r="C1" s="3" t="s">
        <v>1</v>
      </c>
      <c r="D1" s="4" t="s">
        <v>3</v>
      </c>
    </row>
    <row r="2" spans="1:4" ht="25.5" customHeight="1" x14ac:dyDescent="0.3">
      <c r="A2" s="117" t="s">
        <v>16</v>
      </c>
      <c r="B2" s="118"/>
      <c r="C2" s="5"/>
      <c r="D2" s="6"/>
    </row>
    <row r="3" spans="1:4" ht="24.75" customHeight="1" x14ac:dyDescent="0.2">
      <c r="A3" s="7" t="s">
        <v>4</v>
      </c>
      <c r="B3" s="84" t="s">
        <v>5</v>
      </c>
      <c r="C3" s="8"/>
      <c r="D3" s="9" t="s">
        <v>2</v>
      </c>
    </row>
    <row r="4" spans="1:4" ht="24.75" customHeight="1" x14ac:dyDescent="0.2">
      <c r="A4" s="119" t="str">
        <f ca="1">IFERROR(__xludf.DUMMYFUNCTION("IMPORTRANGE(""https://docs.google.com/spreadsheets/d/1Q2ZBmWAGSRzZ3XRbpEHoAoRYxNFIDNpF5GsUXOujZjA/edit#gid=0&amp;range="",""A4:D500"")"),"БИНОКЛИ")</f>
        <v>БИНОКЛИ</v>
      </c>
      <c r="B4" s="120"/>
      <c r="C4" s="10"/>
      <c r="D4" s="11"/>
    </row>
    <row r="5" spans="1:4" ht="18.75" x14ac:dyDescent="0.2">
      <c r="A5" s="112" t="str">
        <f ca="1">IFERROR(__xludf.DUMMYFUNCTION("""COMPUTED_VALUE"""),"БИНОКЛИ NIKON")</f>
        <v>БИНОКЛИ NIKON</v>
      </c>
      <c r="B5" s="113"/>
      <c r="C5" s="13"/>
      <c r="D5" s="11"/>
    </row>
    <row r="6" spans="1:4" ht="18.75" x14ac:dyDescent="0.2">
      <c r="A6" s="121" t="str">
        <f ca="1">IFERROR(__xludf.DUMMYFUNCTION("""COMPUTED_VALUE"""),"Классическая серия")</f>
        <v>Классическая серия</v>
      </c>
      <c r="B6" s="122"/>
      <c r="C6" s="14"/>
      <c r="D6" s="15"/>
    </row>
    <row r="7" spans="1:4" ht="18.75" x14ac:dyDescent="0.2">
      <c r="A7" s="112" t="str">
        <f ca="1">IFERROR(__xludf.DUMMYFUNCTION("""COMPUTED_VALUE"""),"Aculon A211")</f>
        <v>Aculon A211</v>
      </c>
      <c r="B7" s="123"/>
      <c r="C7" s="14"/>
      <c r="D7" s="15"/>
    </row>
    <row r="8" spans="1:4" ht="16.5" x14ac:dyDescent="0.25">
      <c r="A8" s="16" t="str">
        <f ca="1">IFERROR(__xludf.DUMMYFUNCTION("""COMPUTED_VALUE"""),"BAA811SA")</f>
        <v>BAA811SA</v>
      </c>
      <c r="B8" s="85" t="str">
        <f ca="1">IFERROR(__xludf.DUMMYFUNCTION("""COMPUTED_VALUE"""),"Бинокль Nikon Aculon 8x42, асферические линзы, обрезиненный корпус")</f>
        <v>Бинокль Nikon Aculon 8x42, асферические линзы, обрезиненный корпус</v>
      </c>
      <c r="C8" s="17" t="s">
        <v>6</v>
      </c>
      <c r="D8" s="18"/>
    </row>
    <row r="9" spans="1:4" ht="18.75" x14ac:dyDescent="0.2">
      <c r="A9" s="19" t="str">
        <f ca="1">IFERROR(__xludf.DUMMYFUNCTION("""COMPUTED_VALUE"""),"BAA812SA")</f>
        <v>BAA812SA</v>
      </c>
      <c r="B9" s="86" t="str">
        <f ca="1">IFERROR(__xludf.DUMMYFUNCTION("""COMPUTED_VALUE"""),"Бинокль Nikon Aculon 10x42, асферические линзы, обрезиненный корпус")</f>
        <v>Бинокль Nikon Aculon 10x42, асферические линзы, обрезиненный корпус</v>
      </c>
      <c r="C9" s="21">
        <v>30000</v>
      </c>
      <c r="D9" s="15"/>
    </row>
    <row r="10" spans="1:4" ht="16.5" x14ac:dyDescent="0.25">
      <c r="A10" s="22" t="str">
        <f ca="1">IFERROR(__xludf.DUMMYFUNCTION("""COMPUTED_VALUE"""),"BAA814SA")</f>
        <v>BAA814SA</v>
      </c>
      <c r="B10" s="85" t="str">
        <f ca="1">IFERROR(__xludf.DUMMYFUNCTION("""COMPUTED_VALUE"""),"Бинокль Nikon Aculon 10x50, асферические линзы, обрезиненный корпус")</f>
        <v>Бинокль Nikon Aculon 10x50, асферические линзы, обрезиненный корпус</v>
      </c>
      <c r="C10" s="21">
        <v>30000</v>
      </c>
      <c r="D10" s="18"/>
    </row>
    <row r="11" spans="1:4" ht="16.5" x14ac:dyDescent="0.25">
      <c r="A11" s="22" t="str">
        <f ca="1">IFERROR(__xludf.DUMMYFUNCTION("""COMPUTED_VALUE"""),"BAA815SA")</f>
        <v>BAA815SA</v>
      </c>
      <c r="B11" s="86" t="str">
        <f ca="1">IFERROR(__xludf.DUMMYFUNCTION("""COMPUTED_VALUE"""),"Бинокль Nikon Aculon 12x50, асферические линзы, обрезиненный корпус")</f>
        <v>Бинокль Nikon Aculon 12x50, асферические линзы, обрезиненный корпус</v>
      </c>
      <c r="C11" s="23">
        <v>32000</v>
      </c>
      <c r="D11" s="18"/>
    </row>
    <row r="12" spans="1:4" ht="18.75" x14ac:dyDescent="0.2">
      <c r="A12" s="24" t="str">
        <f ca="1">IFERROR(__xludf.DUMMYFUNCTION("""COMPUTED_VALUE"""),"BAA816SA")</f>
        <v>BAA816SA</v>
      </c>
      <c r="B12" s="85" t="str">
        <f ca="1">IFERROR(__xludf.DUMMYFUNCTION("""COMPUTED_VALUE"""),"Бинокль Nikon Aculon 16x50, асферические линзы, обрезиненный корпус")</f>
        <v>Бинокль Nikon Aculon 16x50, асферические линзы, обрезиненный корпус</v>
      </c>
      <c r="C12" s="21">
        <v>48000</v>
      </c>
      <c r="D12" s="15"/>
    </row>
    <row r="13" spans="1:4" ht="16.5" x14ac:dyDescent="0.25">
      <c r="A13" s="112" t="str">
        <f ca="1">IFERROR(__xludf.DUMMYFUNCTION("""COMPUTED_VALUE"""),"Aculon Zoom")</f>
        <v>Aculon Zoom</v>
      </c>
      <c r="B13" s="123"/>
      <c r="C13" s="25"/>
      <c r="D13" s="18"/>
    </row>
    <row r="14" spans="1:4" ht="18.75" x14ac:dyDescent="0.2">
      <c r="A14" s="16" t="str">
        <f ca="1">IFERROR(__xludf.DUMMYFUNCTION("""COMPUTED_VALUE"""),"BAA818SA")</f>
        <v>BAA818SA</v>
      </c>
      <c r="B14" s="85" t="str">
        <f ca="1">IFERROR(__xludf.DUMMYFUNCTION("""COMPUTED_VALUE"""),"Бинокль Nikon Aculon 10-22х50 Zoom асферические линзы, обрезиненный корпус")</f>
        <v>Бинокль Nikon Aculon 10-22х50 Zoom асферические линзы, обрезиненный корпус</v>
      </c>
      <c r="C14" s="26">
        <v>44000</v>
      </c>
      <c r="D14" s="15"/>
    </row>
    <row r="15" spans="1:4" ht="18.75" x14ac:dyDescent="0.2">
      <c r="A15" s="112" t="str">
        <f ca="1">IFERROR(__xludf.DUMMYFUNCTION("""COMPUTED_VALUE"""),"ProStaff 7S")</f>
        <v>ProStaff 7S</v>
      </c>
      <c r="B15" s="123"/>
      <c r="C15" s="14"/>
      <c r="D15" s="15"/>
    </row>
    <row r="16" spans="1:4" ht="18.75" x14ac:dyDescent="0.2">
      <c r="A16" s="27" t="str">
        <f ca="1">IFERROR(__xludf.DUMMYFUNCTION("""COMPUTED_VALUE"""),"BAA841UA")</f>
        <v>BAA841UA</v>
      </c>
      <c r="B16" s="85" t="str">
        <f ca="1">IFERROR(__xludf.DUMMYFUNCTION("""COMPUTED_VALUE"""),"Бинокль Nikon ProStaff 7S, 10x42 обрезиненный, водонепроницаемый")</f>
        <v>Бинокль Nikon ProStaff 7S, 10x42 обрезиненный, водонепроницаемый</v>
      </c>
      <c r="C16" s="26">
        <v>37000</v>
      </c>
      <c r="D16" s="15"/>
    </row>
    <row r="17" spans="1:4" ht="18.75" x14ac:dyDescent="0.2">
      <c r="A17" s="112" t="str">
        <f ca="1">IFERROR(__xludf.DUMMYFUNCTION("""COMPUTED_VALUE""")," БИНОКЛИ PENTAX")</f>
        <v xml:space="preserve"> БИНОКЛИ PENTAX</v>
      </c>
      <c r="B17" s="123"/>
      <c r="C17" s="14"/>
      <c r="D17" s="15"/>
    </row>
    <row r="18" spans="1:4" ht="18.75" x14ac:dyDescent="0.2">
      <c r="A18" s="112" t="str">
        <f ca="1">IFERROR(__xludf.DUMMYFUNCTION("""COMPUTED_VALUE"""),"серия JUPITER")</f>
        <v>серия JUPITER</v>
      </c>
      <c r="B18" s="124"/>
      <c r="C18" s="14"/>
      <c r="D18" s="15"/>
    </row>
    <row r="19" spans="1:4" ht="18.75" x14ac:dyDescent="0.2">
      <c r="A19" s="27" t="str">
        <f ca="1">IFERROR(__xludf.DUMMYFUNCTION("""COMPUTED_VALUE"""),"S0065911")</f>
        <v>S0065911</v>
      </c>
      <c r="B19" s="86" t="str">
        <f ca="1">IFERROR(__xludf.DUMMYFUNCTION("""COMPUTED_VALUE"""),"Бинокль Pentax Jupiter 8x40 porro-призма, цвет черный")</f>
        <v>Бинокль Pentax Jupiter 8x40 porro-призма, цвет черный</v>
      </c>
      <c r="C19" s="20">
        <v>14490</v>
      </c>
      <c r="D19" s="15"/>
    </row>
    <row r="20" spans="1:4" ht="18.75" x14ac:dyDescent="0.2">
      <c r="A20" s="27" t="str">
        <f ca="1">IFERROR(__xludf.DUMMYFUNCTION("""COMPUTED_VALUE"""),"S0065912")</f>
        <v>S0065912</v>
      </c>
      <c r="B20" s="85" t="str">
        <f ca="1">IFERROR(__xludf.DUMMYFUNCTION("""COMPUTED_VALUE"""),"Бинокль Pentax Jupiter 10x50 porro-призма, цвет черный")</f>
        <v>Бинокль Pentax Jupiter 10x50 porro-призма, цвет черный</v>
      </c>
      <c r="C20" s="26">
        <v>16990</v>
      </c>
      <c r="D20" s="15"/>
    </row>
    <row r="21" spans="1:4" ht="18.75" x14ac:dyDescent="0.2">
      <c r="A21" s="27" t="str">
        <f ca="1">IFERROR(__xludf.DUMMYFUNCTION("""COMPUTED_VALUE"""),"S0065913")</f>
        <v>S0065913</v>
      </c>
      <c r="B21" s="86" t="str">
        <f ca="1">IFERROR(__xludf.DUMMYFUNCTION("""COMPUTED_VALUE"""),"Бинокль Pentax Jupiter 12x50 porro-призма, цвет черный")</f>
        <v>Бинокль Pentax Jupiter 12x50 porro-призма, цвет черный</v>
      </c>
      <c r="C21" s="21">
        <v>17990</v>
      </c>
      <c r="D21" s="15"/>
    </row>
    <row r="22" spans="1:4" ht="18.75" x14ac:dyDescent="0.2">
      <c r="A22" s="27" t="str">
        <f ca="1">IFERROR(__xludf.DUMMYFUNCTION("""COMPUTED_VALUE"""),"S0065914")</f>
        <v>S0065914</v>
      </c>
      <c r="B22" s="85" t="str">
        <f ca="1">IFERROR(__xludf.DUMMYFUNCTION("""COMPUTED_VALUE"""),"Бинокль Pentax Jupiter 16x50 porro-призма, цвет черный")</f>
        <v>Бинокль Pentax Jupiter 16x50 porro-призма, цвет черный</v>
      </c>
      <c r="C22" s="23">
        <v>20990</v>
      </c>
      <c r="D22" s="15"/>
    </row>
    <row r="23" spans="1:4" ht="18.75" x14ac:dyDescent="0.2">
      <c r="A23" s="112" t="str">
        <f ca="1">IFERROR(__xludf.DUMMYFUNCTION("""COMPUTED_VALUE"""),"серия SP")</f>
        <v>серия SP</v>
      </c>
      <c r="B23" s="123"/>
      <c r="C23" s="25"/>
      <c r="D23" s="15"/>
    </row>
    <row r="24" spans="1:4" ht="18.75" x14ac:dyDescent="0.2">
      <c r="A24" s="28" t="str">
        <f ca="1">IFERROR(__xludf.DUMMYFUNCTION("""COMPUTED_VALUE"""),"S0065902")</f>
        <v>S0065902</v>
      </c>
      <c r="B24" s="85" t="str">
        <f ca="1">IFERROR(__xludf.DUMMYFUNCTION("""COMPUTED_VALUE"""),"Бинокль Pentax SP 8x40 porro-призма, цвет черный")</f>
        <v>Бинокль Pentax SP 8x40 porro-призма, цвет черный</v>
      </c>
      <c r="C24" s="29">
        <v>15990</v>
      </c>
      <c r="D24" s="15"/>
    </row>
    <row r="25" spans="1:4" ht="18.75" x14ac:dyDescent="0.2">
      <c r="A25" s="16" t="str">
        <f ca="1">IFERROR(__xludf.DUMMYFUNCTION("""COMPUTED_VALUE"""),"S0065903")</f>
        <v>S0065903</v>
      </c>
      <c r="B25" s="87" t="str">
        <f ca="1">IFERROR(__xludf.DUMMYFUNCTION("""COMPUTED_VALUE"""),"Бинокль Pentax SP 10x50 porro-призма, цвет черный")</f>
        <v>Бинокль Pentax SP 10x50 porro-призма, цвет черный</v>
      </c>
      <c r="C25" s="30" t="s">
        <v>7</v>
      </c>
      <c r="D25" s="15"/>
    </row>
    <row r="26" spans="1:4" ht="18.75" x14ac:dyDescent="0.2">
      <c r="A26" s="16" t="str">
        <f ca="1">IFERROR(__xludf.DUMMYFUNCTION("""COMPUTED_VALUE"""),"S0065904")</f>
        <v>S0065904</v>
      </c>
      <c r="B26" s="87" t="str">
        <f ca="1">IFERROR(__xludf.DUMMYFUNCTION("""COMPUTED_VALUE"""),"Бинокль Pentax SP 12x50 porro-призма, цвет черный")</f>
        <v>Бинокль Pentax SP 12x50 porro-призма, цвет черный</v>
      </c>
      <c r="C26" s="30" t="s">
        <v>8</v>
      </c>
      <c r="D26" s="15"/>
    </row>
    <row r="27" spans="1:4" ht="18.75" x14ac:dyDescent="0.2">
      <c r="A27" s="16" t="str">
        <f ca="1">IFERROR(__xludf.DUMMYFUNCTION("""COMPUTED_VALUE"""),"S0065905")</f>
        <v>S0065905</v>
      </c>
      <c r="B27" s="87" t="str">
        <f ca="1">IFERROR(__xludf.DUMMYFUNCTION("""COMPUTED_VALUE"""),"Бинокль Pentax SP 16x50 porro-призма, цвет черный")</f>
        <v>Бинокль Pentax SP 16x50 porro-призма, цвет черный</v>
      </c>
      <c r="C27" s="31" t="s">
        <v>9</v>
      </c>
      <c r="D27" s="15"/>
    </row>
    <row r="28" spans="1:4" ht="16.5" x14ac:dyDescent="0.25">
      <c r="A28" s="112" t="str">
        <f ca="1">IFERROR(__xludf.DUMMYFUNCTION("""COMPUTED_VALUE"""),"серия SP WP")</f>
        <v>серия SP WP</v>
      </c>
      <c r="B28" s="124"/>
      <c r="C28" s="32"/>
      <c r="D28" s="18"/>
    </row>
    <row r="29" spans="1:4" ht="16.5" x14ac:dyDescent="0.25">
      <c r="A29" s="16" t="str">
        <f ca="1">IFERROR(__xludf.DUMMYFUNCTION("""COMPUTED_VALUE"""),"S0065871")</f>
        <v>S0065871</v>
      </c>
      <c r="B29" s="86" t="str">
        <f ca="1">IFERROR(__xludf.DUMMYFUNCTION("""COMPUTED_VALUE"""),"Бинокль Pentax SP 8x40 WP porro-призма, цвет черный, водонепроницаемый")</f>
        <v>Бинокль Pentax SP 8x40 WP porro-призма, цвет черный, водонепроницаемый</v>
      </c>
      <c r="C29" s="33" t="s">
        <v>10</v>
      </c>
      <c r="D29" s="18"/>
    </row>
    <row r="30" spans="1:4" ht="18.75" x14ac:dyDescent="0.2">
      <c r="A30" s="16" t="str">
        <f ca="1">IFERROR(__xludf.DUMMYFUNCTION("""COMPUTED_VALUE"""),"S0065872")</f>
        <v>S0065872</v>
      </c>
      <c r="B30" s="85" t="str">
        <f ca="1">IFERROR(__xludf.DUMMYFUNCTION("""COMPUTED_VALUE"""),"Бинокль Pentax SP 10x50 WP porro-призма, цвет черный, водонепроницаемый")</f>
        <v>Бинокль Pentax SP 10x50 WP porro-призма, цвет черный, водонепроницаемый</v>
      </c>
      <c r="C30" s="33" t="s">
        <v>11</v>
      </c>
      <c r="D30" s="15"/>
    </row>
    <row r="31" spans="1:4" ht="16.5" x14ac:dyDescent="0.25">
      <c r="A31" s="16" t="str">
        <f ca="1">IFERROR(__xludf.DUMMYFUNCTION("""COMPUTED_VALUE"""),"S0065873")</f>
        <v>S0065873</v>
      </c>
      <c r="B31" s="86" t="str">
        <f ca="1">IFERROR(__xludf.DUMMYFUNCTION("""COMPUTED_VALUE"""),"Бинокль Pentax SP 12x50 WP porro-призма, цвет черный, водонепроницаемый")</f>
        <v>Бинокль Pentax SP 12x50 WP porro-призма, цвет черный, водонепроницаемый</v>
      </c>
      <c r="C31" s="34" t="s">
        <v>12</v>
      </c>
      <c r="D31" s="18"/>
    </row>
    <row r="32" spans="1:4" ht="18.75" x14ac:dyDescent="0.2">
      <c r="A32" s="16" t="str">
        <f ca="1">IFERROR(__xludf.DUMMYFUNCTION("""COMPUTED_VALUE"""),"S0065874")</f>
        <v>S0065874</v>
      </c>
      <c r="B32" s="85" t="str">
        <f ca="1">IFERROR(__xludf.DUMMYFUNCTION("""COMPUTED_VALUE"""),"Бинокль Pentax SP 20x60 WP porro-призма, цвет черный, водонепроницаемый")</f>
        <v>Бинокль Pentax SP 20x60 WP porro-призма, цвет черный, водонепроницаемый</v>
      </c>
      <c r="C32" s="35" t="s">
        <v>13</v>
      </c>
      <c r="D32" s="15"/>
    </row>
    <row r="33" spans="1:4" ht="16.5" x14ac:dyDescent="0.25">
      <c r="A33" s="112" t="str">
        <f ca="1">IFERROR(__xludf.DUMMYFUNCTION("""COMPUTED_VALUE"""),"серия UP")</f>
        <v>серия UP</v>
      </c>
      <c r="B33" s="113"/>
      <c r="C33" s="32"/>
      <c r="D33" s="36"/>
    </row>
    <row r="34" spans="1:4" ht="18.75" x14ac:dyDescent="0.2">
      <c r="A34" s="16" t="str">
        <f ca="1">IFERROR(__xludf.DUMMYFUNCTION("""COMPUTED_VALUE"""),"S0061961")</f>
        <v>S0061961</v>
      </c>
      <c r="B34" s="87" t="str">
        <f ca="1">IFERROR(__xludf.DUMMYFUNCTION("""COMPUTED_VALUE"""),"Бинокль Pentax UP 8-16x21 porro-призма, цвет черный")</f>
        <v>Бинокль Pentax UP 8-16x21 porro-призма, цвет черный</v>
      </c>
      <c r="C34" s="31" t="s">
        <v>14</v>
      </c>
      <c r="D34" s="15"/>
    </row>
    <row r="35" spans="1:4" ht="16.5" x14ac:dyDescent="0.25">
      <c r="A35" s="112" t="str">
        <f ca="1">IFERROR(__xludf.DUMMYFUNCTION("""COMPUTED_VALUE"""),"cерия  AD WP и SD WP")</f>
        <v>cерия  AD WP и SD WP</v>
      </c>
      <c r="B35" s="113"/>
      <c r="C35" s="37"/>
      <c r="D35" s="18"/>
    </row>
    <row r="36" spans="1:4" ht="16.5" x14ac:dyDescent="0.25">
      <c r="A36" s="16" t="str">
        <f ca="1">IFERROR(__xludf.DUMMYFUNCTION("""COMPUTED_VALUE"""),"S0062882")</f>
        <v>S0062882</v>
      </c>
      <c r="B36" s="87" t="str">
        <f ca="1">IFERROR(__xludf.DUMMYFUNCTION("""COMPUTED_VALUE"""),"Бинокль Pentax AD 10x25 WP porro-призмацвет черный, водонепроницаемый")</f>
        <v>Бинокль Pentax AD 10x25 WP porro-призмацвет черный, водонепроницаемый</v>
      </c>
      <c r="C36" s="38">
        <v>33000</v>
      </c>
      <c r="D36" s="18"/>
    </row>
    <row r="37" spans="1:4" ht="18.75" x14ac:dyDescent="0.2">
      <c r="A37" s="16" t="str">
        <f ca="1">IFERROR(__xludf.DUMMYFUNCTION("""COMPUTED_VALUE"""),"S0062761")</f>
        <v>S0062761</v>
      </c>
      <c r="B37" s="87" t="str">
        <f ca="1">IFERROR(__xludf.DUMMYFUNCTION("""COMPUTED_VALUE"""),"Бинокль Pentax SD 8x42 WP porro-призма цвет черный, водонепроницаемый")</f>
        <v>Бинокль Pentax SD 8x42 WP porro-призма цвет черный, водонепроницаемый</v>
      </c>
      <c r="C37" s="38">
        <v>58000</v>
      </c>
      <c r="D37" s="15"/>
    </row>
    <row r="38" spans="1:4" ht="18.75" x14ac:dyDescent="0.2">
      <c r="A38" s="112" t="str">
        <f ca="1">IFERROR(__xludf.DUMMYFUNCTION("""COMPUTED_VALUE""")," БИНОКЛИ КОМЗ")</f>
        <v xml:space="preserve"> БИНОКЛИ КОМЗ</v>
      </c>
      <c r="B38" s="113"/>
      <c r="C38" s="39"/>
      <c r="D38" s="15"/>
    </row>
    <row r="39" spans="1:4" ht="18.75" x14ac:dyDescent="0.2">
      <c r="A39" s="16" t="str">
        <f ca="1">IFERROR(__xludf.DUMMYFUNCTION("""COMPUTED_VALUE"""),"BPC830")</f>
        <v>BPC830</v>
      </c>
      <c r="B39" s="87" t="str">
        <f ca="1">IFERROR(__xludf.DUMMYFUNCTION("""COMPUTED_VALUE"""),"Бинокль БПЦ5 8х30 классический корпус, центральная фокусировка")</f>
        <v>Бинокль БПЦ5 8х30 классический корпус, центральная фокусировка</v>
      </c>
      <c r="C39" s="20">
        <v>13300</v>
      </c>
      <c r="D39" s="15"/>
    </row>
    <row r="40" spans="1:4" ht="33" x14ac:dyDescent="0.2">
      <c r="A40" s="16" t="str">
        <f ca="1">IFERROR(__xludf.DUMMYFUNCTION("""COMPUTED_VALUE"""),"BPC830R")</f>
        <v>BPC830R</v>
      </c>
      <c r="B40" s="87" t="str">
        <f ca="1">IFERROR(__xludf.DUMMYFUNCTION("""COMPUTED_VALUE"""),"Бинокль БПЦ5 8х30 классический корпус,  рубиновое покрытием линз, центральная фокусировка")</f>
        <v>Бинокль БПЦ5 8х30 классический корпус,  рубиновое покрытием линз, центральная фокусировка</v>
      </c>
      <c r="C40" s="16" t="s">
        <v>15</v>
      </c>
      <c r="D40" s="15"/>
    </row>
    <row r="41" spans="1:4" ht="16.5" x14ac:dyDescent="0.25">
      <c r="A41" s="16" t="str">
        <f ca="1">IFERROR(__xludf.DUMMYFUNCTION("""COMPUTED_VALUE"""),"BPC830OB")</f>
        <v>BPC830OB</v>
      </c>
      <c r="B41" s="87" t="str">
        <f ca="1">IFERROR(__xludf.DUMMYFUNCTION("""COMPUTED_VALUE"""),"Бинокль БПЦ6 8х30 обрезиненный корпус, центральная фокусировка")</f>
        <v>Бинокль БПЦ6 8х30 обрезиненный корпус, центральная фокусировка</v>
      </c>
      <c r="C41" s="21">
        <v>14200</v>
      </c>
      <c r="D41" s="18"/>
    </row>
    <row r="42" spans="1:4" ht="33" x14ac:dyDescent="0.2">
      <c r="A42" s="16" t="str">
        <f ca="1">IFERROR(__xludf.DUMMYFUNCTION("""COMPUTED_VALUE"""),"BPC830ROB")</f>
        <v>BPC830ROB</v>
      </c>
      <c r="B42" s="87" t="str">
        <f ca="1">IFERROR(__xludf.DUMMYFUNCTION("""COMPUTED_VALUE"""),"Бинокль БПЦ6 8х30 рубиновое покрытие линз,обрезиненный корпус, центральная фокусировка")</f>
        <v>Бинокль БПЦ6 8х30 рубиновое покрытие линз,обрезиненный корпус, центральная фокусировка</v>
      </c>
      <c r="C42" s="21">
        <v>15800</v>
      </c>
      <c r="D42" s="15"/>
    </row>
    <row r="43" spans="1:4" ht="33" x14ac:dyDescent="0.2">
      <c r="A43" s="16" t="str">
        <f ca="1">IFERROR(__xludf.DUMMYFUNCTION("""COMPUTED_VALUE"""),"BPC830S")</f>
        <v>BPC830S</v>
      </c>
      <c r="B43" s="87" t="str">
        <f ca="1">IFERROR(__xludf.DUMMYFUNCTION("""COMPUTED_VALUE"""),"Бинокль БПЦс5 8х30 классический корпус, угломерная сетка, центральная фокусировка")</f>
        <v>Бинокль БПЦс5 8х30 классический корпус, угломерная сетка, центральная фокусировка</v>
      </c>
      <c r="C43" s="38">
        <v>14200</v>
      </c>
      <c r="D43" s="15"/>
    </row>
    <row r="44" spans="1:4" ht="33" x14ac:dyDescent="0.2">
      <c r="A44" s="16" t="str">
        <f ca="1">IFERROR(__xludf.DUMMYFUNCTION("""COMPUTED_VALUE"""),"BPC8Х30SOB")</f>
        <v>BPC8Х30SOB</v>
      </c>
      <c r="B44" s="87" t="str">
        <f ca="1">IFERROR(__xludf.DUMMYFUNCTION("""COMPUTED_VALUE"""),"Бинокль БПЦс6 8х30 обрезиненный корпус, угломерная сетка, центральная фокусировка")</f>
        <v>Бинокль БПЦс6 8х30 обрезиненный корпус, угломерная сетка, центральная фокусировка</v>
      </c>
      <c r="C44" s="40">
        <v>17300</v>
      </c>
      <c r="D44" s="15"/>
    </row>
    <row r="45" spans="1:4" ht="16.5" x14ac:dyDescent="0.25">
      <c r="A45" s="16" t="str">
        <f ca="1">IFERROR(__xludf.DUMMYFUNCTION("""COMPUTED_VALUE"""),"BPC1040")</f>
        <v>BPC1040</v>
      </c>
      <c r="B45" s="87" t="str">
        <f ca="1">IFERROR(__xludf.DUMMYFUNCTION("""COMPUTED_VALUE"""),"Бинокль БПЦ 10х40 классический корпус, центральная фокусировка")</f>
        <v>Бинокль БПЦ 10х40 классический корпус, центральная фокусировка</v>
      </c>
      <c r="C45" s="16" t="s">
        <v>15</v>
      </c>
      <c r="D45" s="18"/>
    </row>
    <row r="46" spans="1:4" ht="18.75" x14ac:dyDescent="0.2">
      <c r="A46" s="16" t="str">
        <f ca="1">IFERROR(__xludf.DUMMYFUNCTION("""COMPUTED_VALUE"""),"BPC1040R")</f>
        <v>BPC1040R</v>
      </c>
      <c r="B46" s="87" t="str">
        <f ca="1">IFERROR(__xludf.DUMMYFUNCTION("""COMPUTED_VALUE"""),"Бинокль БПЦ 10х40 рубиновое покрытие линз, центральная фокусировка")</f>
        <v>Бинокль БПЦ 10х40 рубиновое покрытие линз, центральная фокусировка</v>
      </c>
      <c r="C46" s="16" t="s">
        <v>15</v>
      </c>
      <c r="D46" s="15"/>
    </row>
    <row r="47" spans="1:4" ht="18.75" x14ac:dyDescent="0.2">
      <c r="A47" s="16" t="str">
        <f ca="1">IFERROR(__xludf.DUMMYFUNCTION("""COMPUTED_VALUE"""),"BPC1040OB")</f>
        <v>BPC1040OB</v>
      </c>
      <c r="B47" s="87" t="str">
        <f ca="1">IFERROR(__xludf.DUMMYFUNCTION("""COMPUTED_VALUE"""),"Бинокль БПЦ2 10х40 обрезиненный корпус, центральная фокусировка")</f>
        <v>Бинокль БПЦ2 10х40 обрезиненный корпус, центральная фокусировка</v>
      </c>
      <c r="C47" s="16" t="s">
        <v>15</v>
      </c>
      <c r="D47" s="15"/>
    </row>
    <row r="48" spans="1:4" ht="33" x14ac:dyDescent="0.2">
      <c r="A48" s="16" t="str">
        <f ca="1">IFERROR(__xludf.DUMMYFUNCTION("""COMPUTED_VALUE"""),"BPC1040S")</f>
        <v>BPC1040S</v>
      </c>
      <c r="B48" s="87" t="str">
        <f ca="1">IFERROR(__xludf.DUMMYFUNCTION("""COMPUTED_VALUE"""),"Бинокль БПЦс2 10х40 классический корпус, дальномерная сетка, центральная фокусировка")</f>
        <v>Бинокль БПЦс2 10х40 классический корпус, дальномерная сетка, центральная фокусировка</v>
      </c>
      <c r="C48" s="38">
        <v>17500</v>
      </c>
      <c r="D48" s="15"/>
    </row>
    <row r="49" spans="1:4" ht="31.5" x14ac:dyDescent="0.25">
      <c r="A49" s="41" t="str">
        <f ca="1">IFERROR(__xludf.DUMMYFUNCTION("""COMPUTED_VALUE"""),"BPC1040SOB")</f>
        <v>BPC1040SOB</v>
      </c>
      <c r="B49" s="88" t="str">
        <f ca="1">IFERROR(__xludf.DUMMYFUNCTION("""COMPUTED_VALUE"""),"Бинокль БПЦс2 10х40 обрезиненный корпус, дальномерная сетка, центральная фокусировка")</f>
        <v>Бинокль БПЦс2 10х40 обрезиненный корпус, дальномерная сетка, центральная фокусировка</v>
      </c>
      <c r="C49" s="41" t="s">
        <v>15</v>
      </c>
      <c r="D49" s="18"/>
    </row>
    <row r="50" spans="1:4" ht="16.5" x14ac:dyDescent="0.25">
      <c r="A50" s="16" t="str">
        <f ca="1">IFERROR(__xludf.DUMMYFUNCTION("""COMPUTED_VALUE"""),"BPC1245")</f>
        <v>BPC1245</v>
      </c>
      <c r="B50" s="87" t="str">
        <f ca="1">IFERROR(__xludf.DUMMYFUNCTION("""COMPUTED_VALUE"""),"Бинокль БПЦ 12х45М классический корпус, центральная фокусировка")</f>
        <v>Бинокль БПЦ 12х45М классический корпус, центральная фокусировка</v>
      </c>
      <c r="C50" s="16" t="s">
        <v>15</v>
      </c>
      <c r="D50" s="18"/>
    </row>
    <row r="51" spans="1:4" ht="18.75" x14ac:dyDescent="0.2">
      <c r="A51" s="16" t="str">
        <f ca="1">IFERROR(__xludf.DUMMYFUNCTION("""COMPUTED_VALUE"""),"BPC1245OB")</f>
        <v>BPC1245OB</v>
      </c>
      <c r="B51" s="87" t="str">
        <f ca="1">IFERROR(__xludf.DUMMYFUNCTION("""COMPUTED_VALUE"""),"Бинокль БПЦ 12х45М обрезиненный корпус, центральная фокусировка")</f>
        <v>Бинокль БПЦ 12х45М обрезиненный корпус, центральная фокусировка</v>
      </c>
      <c r="C51" s="21">
        <v>16500</v>
      </c>
      <c r="D51" s="15"/>
    </row>
    <row r="52" spans="1:4" ht="33" x14ac:dyDescent="0.25">
      <c r="A52" s="16" t="str">
        <f ca="1">IFERROR(__xludf.DUMMYFUNCTION("""COMPUTED_VALUE"""),"BPC1245S")</f>
        <v>BPC1245S</v>
      </c>
      <c r="B52" s="87" t="str">
        <f ca="1">IFERROR(__xludf.DUMMYFUNCTION("""COMPUTED_VALUE"""),"Бинокль БПЦс 12х45М классический корпус, угломерная сетка, центральная фокусировка")</f>
        <v>Бинокль БПЦс 12х45М классический корпус, угломерная сетка, центральная фокусировка</v>
      </c>
      <c r="C52" s="16" t="s">
        <v>15</v>
      </c>
      <c r="D52" s="18"/>
    </row>
    <row r="53" spans="1:4" ht="33" x14ac:dyDescent="0.2">
      <c r="A53" s="16" t="str">
        <f ca="1">IFERROR(__xludf.DUMMYFUNCTION("""COMPUTED_VALUE"""),"BPC1245SOB")</f>
        <v>BPC1245SOB</v>
      </c>
      <c r="B53" s="87" t="str">
        <f ca="1">IFERROR(__xludf.DUMMYFUNCTION("""COMPUTED_VALUE"""),"Бинокль БПЦс3 12х45 обрезиненный корпус, угломерная сетка, центральная фокусировка")</f>
        <v>Бинокль БПЦс3 12х45 обрезиненный корпус, угломерная сетка, центральная фокусировка</v>
      </c>
      <c r="C53" s="16" t="s">
        <v>15</v>
      </c>
      <c r="D53" s="15"/>
    </row>
    <row r="54" spans="1:4" ht="18.75" x14ac:dyDescent="0.2">
      <c r="A54" s="16" t="str">
        <f ca="1">IFERROR(__xludf.DUMMYFUNCTION("""COMPUTED_VALUE"""),"BPC1550")</f>
        <v>BPC1550</v>
      </c>
      <c r="B54" s="87" t="str">
        <f ca="1">IFERROR(__xludf.DUMMYFUNCTION("""COMPUTED_VALUE"""),"Бинокль БПЦ 15х50 классический корпус, центральная фокусировка")</f>
        <v>Бинокль БПЦ 15х50 классический корпус, центральная фокусировка</v>
      </c>
      <c r="C54" s="20">
        <v>18600</v>
      </c>
      <c r="D54" s="15"/>
    </row>
    <row r="55" spans="1:4" ht="16.5" x14ac:dyDescent="0.25">
      <c r="A55" s="41" t="str">
        <f ca="1">IFERROR(__xludf.DUMMYFUNCTION("""COMPUTED_VALUE"""),"BPC1550R")</f>
        <v>BPC1550R</v>
      </c>
      <c r="B55" s="88" t="str">
        <f ca="1">IFERROR(__xludf.DUMMYFUNCTION("""COMPUTED_VALUE"""),"Бинокль БПЦ 15х50 рубиновое покрытие линз, центральная фокусировка")</f>
        <v>Бинокль БПЦ 15х50 рубиновое покрытие линз, центральная фокусировка</v>
      </c>
      <c r="C55" s="42">
        <v>19100</v>
      </c>
      <c r="D55" s="18"/>
    </row>
    <row r="56" spans="1:4" ht="18.75" x14ac:dyDescent="0.2">
      <c r="A56" s="16" t="str">
        <f ca="1">IFERROR(__xludf.DUMMYFUNCTION("""COMPUTED_VALUE"""),"BPO1042")</f>
        <v>BPO1042</v>
      </c>
      <c r="B56" s="87" t="str">
        <f ca="1">IFERROR(__xludf.DUMMYFUNCTION("""COMPUTED_VALUE"""),"Бинокль БПО 10х42 обрезиненный корпус, раздельная фокусировка")</f>
        <v>Бинокль БПО 10х42 обрезиненный корпус, раздельная фокусировка</v>
      </c>
      <c r="C56" s="16" t="s">
        <v>15</v>
      </c>
      <c r="D56" s="15"/>
    </row>
    <row r="57" spans="1:4" ht="33" x14ac:dyDescent="0.25">
      <c r="A57" s="16" t="str">
        <f ca="1">IFERROR(__xludf.DUMMYFUNCTION("""COMPUTED_VALUE"""),"BPO1042C")</f>
        <v>BPO1042C</v>
      </c>
      <c r="B57" s="87" t="str">
        <f ca="1">IFERROR(__xludf.DUMMYFUNCTION("""COMPUTED_VALUE"""),"Бинокль БПОс 10х42 обрезиненный корпус,  угломерная сетка, раздельная фокусировка")</f>
        <v>Бинокль БПОс 10х42 обрезиненный корпус,  угломерная сетка, раздельная фокусировка</v>
      </c>
      <c r="C57" s="43">
        <v>30000</v>
      </c>
      <c r="D57" s="18"/>
    </row>
    <row r="58" spans="1:4" ht="16.5" x14ac:dyDescent="0.25">
      <c r="A58" s="112" t="str">
        <f ca="1">IFERROR(__xludf.DUMMYFUNCTION("""COMPUTED_VALUE""")," БИНОКЛИ OLYMPUS")</f>
        <v xml:space="preserve"> БИНОКЛИ OLYMPUS</v>
      </c>
      <c r="B58" s="113"/>
      <c r="C58" s="37"/>
      <c r="D58" s="18"/>
    </row>
    <row r="59" spans="1:4" ht="18.75" x14ac:dyDescent="0.2">
      <c r="A59" s="112" t="str">
        <f ca="1">IFERROR(__xludf.DUMMYFUNCTION("""COMPUTED_VALUE"""),"Компактные бинокли серии RC")</f>
        <v>Компактные бинокли серии RC</v>
      </c>
      <c r="B59" s="113"/>
      <c r="C59" s="37"/>
      <c r="D59" s="15"/>
    </row>
    <row r="60" spans="1:4" ht="18.75" x14ac:dyDescent="0.2">
      <c r="A60" s="16" t="str">
        <f ca="1">IFERROR(__xludf.DUMMYFUNCTION("""COMPUTED_VALUE"""),"OLYMP1021")</f>
        <v>OLYMP1021</v>
      </c>
      <c r="B60" s="87" t="str">
        <f ca="1">IFERROR(__xludf.DUMMYFUNCTION("""COMPUTED_VALUE"""),"Бинокль OLYMPUS 10х21 RC II серебристый")</f>
        <v>Бинокль OLYMPUS 10х21 RC II серебристый</v>
      </c>
      <c r="C60" s="38">
        <v>6100</v>
      </c>
      <c r="D60" s="44"/>
    </row>
    <row r="61" spans="1:4" ht="16.5" x14ac:dyDescent="0.25">
      <c r="A61" s="112" t="str">
        <f ca="1">IFERROR(__xludf.DUMMYFUNCTION("""COMPUTED_VALUE"""),"Монокуляр")</f>
        <v>Монокуляр</v>
      </c>
      <c r="B61" s="113"/>
      <c r="C61" s="39"/>
      <c r="D61" s="18"/>
    </row>
    <row r="62" spans="1:4" ht="18.75" x14ac:dyDescent="0.2">
      <c r="A62" s="16" t="str">
        <f ca="1">IFERROR(__xludf.DUMMYFUNCTION("""COMPUTED_VALUE"""),"OLYMP616")</f>
        <v>OLYMP616</v>
      </c>
      <c r="B62" s="87" t="str">
        <f ca="1">IFERROR(__xludf.DUMMYFUNCTION("""COMPUTED_VALUE"""),"Монокуляр OLYMPUS Monocular i 6x16")</f>
        <v>Монокуляр OLYMPUS Monocular i 6x16</v>
      </c>
      <c r="C62" s="20">
        <v>5100</v>
      </c>
      <c r="D62" s="15"/>
    </row>
    <row r="63" spans="1:4" ht="16.5" x14ac:dyDescent="0.25">
      <c r="A63" s="112" t="str">
        <f ca="1">IFERROR(__xludf.DUMMYFUNCTION("""COMPUTED_VALUE""")," БИНОКЛИ VANGUARD")</f>
        <v xml:space="preserve"> БИНОКЛИ VANGUARD</v>
      </c>
      <c r="B63" s="113"/>
      <c r="C63" s="39"/>
      <c r="D63" s="18"/>
    </row>
    <row r="64" spans="1:4" ht="18.75" x14ac:dyDescent="0.2">
      <c r="A64" s="112" t="str">
        <f ca="1">IFERROR(__xludf.DUMMYFUNCTION("""COMPUTED_VALUE"""),"Компактные бинокли серии VESTA")</f>
        <v>Компактные бинокли серии VESTA</v>
      </c>
      <c r="B64" s="113"/>
      <c r="C64" s="39"/>
      <c r="D64" s="15"/>
    </row>
    <row r="65" spans="1:4" ht="33" x14ac:dyDescent="0.2">
      <c r="A65" s="16" t="str">
        <f ca="1">IFERROR(__xludf.DUMMYFUNCTION("""COMPUTED_VALUE""")," VESTA821WP")</f>
        <v xml:space="preserve"> VESTA821WP</v>
      </c>
      <c r="B65" s="87" t="str">
        <f ca="1">IFERROR(__xludf.DUMMYFUNCTION("""COMPUTED_VALUE"""),"Бинокль VANGUARD VESTA 8x21 WP Система призмы - ROOF. Цвет корпуса - белый перламутр")</f>
        <v>Бинокль VANGUARD VESTA 8x21 WP Система призмы - ROOF. Цвет корпуса - белый перламутр</v>
      </c>
      <c r="C65" s="20">
        <v>4300</v>
      </c>
      <c r="D65" s="15"/>
    </row>
    <row r="66" spans="1:4" ht="33" x14ac:dyDescent="0.2">
      <c r="A66" s="16" t="str">
        <f ca="1">IFERROR(__xludf.DUMMYFUNCTION("""COMPUTED_VALUE""")," VESTA21CH")</f>
        <v xml:space="preserve"> VESTA21CH</v>
      </c>
      <c r="B66" s="87" t="str">
        <f ca="1">IFERROR(__xludf.DUMMYFUNCTION("""COMPUTED_VALUE"""),"Бинокль VANGUARD VESTA 8x21 CHAM Система призмы - ROOF. Цвет корпуса - шампань")</f>
        <v>Бинокль VANGUARD VESTA 8x21 CHAM Система призмы - ROOF. Цвет корпуса - шампань</v>
      </c>
      <c r="C66" s="21">
        <v>4300</v>
      </c>
      <c r="D66" s="15"/>
    </row>
    <row r="67" spans="1:4" ht="33" x14ac:dyDescent="0.25">
      <c r="A67" s="16" t="str">
        <f ca="1">IFERROR(__xludf.DUMMYFUNCTION("""COMPUTED_VALUE"""),"VESTA1021WP")</f>
        <v>VESTA1021WP</v>
      </c>
      <c r="B67" s="87" t="str">
        <f ca="1">IFERROR(__xludf.DUMMYFUNCTION("""COMPUTED_VALUE"""),"Бинокль VANGUARD VESTA 10x21 WP Система призмы - ROOF. Цвет корпуса - белый перламутр")</f>
        <v>Бинокль VANGUARD VESTA 10x21 WP Система призмы - ROOF. Цвет корпуса - белый перламутр</v>
      </c>
      <c r="C67" s="21">
        <v>4400</v>
      </c>
      <c r="D67" s="18"/>
    </row>
    <row r="68" spans="1:4" ht="16.5" outlineLevel="1" x14ac:dyDescent="0.25">
      <c r="A68" s="112" t="str">
        <f ca="1">IFERROR(__xludf.DUMMYFUNCTION("""COMPUTED_VALUE"""),"Бинокли серии ORROS")</f>
        <v>Бинокли серии ORROS</v>
      </c>
      <c r="B68" s="113"/>
      <c r="C68" s="37"/>
      <c r="D68" s="18"/>
    </row>
    <row r="69" spans="1:4" ht="33" outlineLevel="1" x14ac:dyDescent="0.2">
      <c r="A69" s="16" t="str">
        <f ca="1">IFERROR(__xludf.DUMMYFUNCTION("""COMPUTED_VALUE"""),"ORROS825")</f>
        <v>ORROS825</v>
      </c>
      <c r="B69" s="87" t="str">
        <f ca="1">IFERROR(__xludf.DUMMYFUNCTION("""COMPUTED_VALUE"""),"Бинокль ORROS 8x25 Призмы - ROOF. Водонепроницаемый,обрезиненный,высокое светопропускание")</f>
        <v>Бинокль ORROS 8x25 Призмы - ROOF. Водонепроницаемый,обрезиненный,высокое светопропускание</v>
      </c>
      <c r="C69" s="20">
        <v>7100</v>
      </c>
      <c r="D69" s="15"/>
    </row>
    <row r="70" spans="1:4" ht="33" outlineLevel="1" x14ac:dyDescent="0.2">
      <c r="A70" s="27" t="str">
        <f ca="1">IFERROR(__xludf.DUMMYFUNCTION("""COMPUTED_VALUE"""),"ORROS832")</f>
        <v>ORROS832</v>
      </c>
      <c r="B70" s="89" t="str">
        <f ca="1">IFERROR(__xludf.DUMMYFUNCTION("""COMPUTED_VALUE"""),"Бинокль ORROS 8x32 Призмы - ROOF. Водонепроницаемый, обрезиненный, высокое светопропускание")</f>
        <v>Бинокль ORROS 8x32 Призмы - ROOF. Водонепроницаемый, обрезиненный, высокое светопропускание</v>
      </c>
      <c r="C70" s="21">
        <v>11400</v>
      </c>
      <c r="D70" s="15"/>
    </row>
    <row r="71" spans="1:4" ht="33" outlineLevel="1" x14ac:dyDescent="0.2">
      <c r="A71" s="16" t="str">
        <f ca="1">IFERROR(__xludf.DUMMYFUNCTION("""COMPUTED_VALUE"""),"ORROS842
")</f>
        <v xml:space="preserve">ORROS842
</v>
      </c>
      <c r="B71" s="87" t="str">
        <f ca="1">IFERROR(__xludf.DUMMYFUNCTION("""COMPUTED_VALUE"""),"Бинокль ORROS 8x42 Призмы - ROOF. Водонепроницаемый,обрезиненный, высокое светопропускание")</f>
        <v>Бинокль ORROS 8x42 Призмы - ROOF. Водонепроницаемый,обрезиненный, высокое светопропускание</v>
      </c>
      <c r="C71" s="21">
        <v>11600</v>
      </c>
      <c r="D71" s="15"/>
    </row>
    <row r="72" spans="1:4" ht="18.75" outlineLevel="1" x14ac:dyDescent="0.2">
      <c r="A72" s="112" t="str">
        <f ca="1">IFERROR(__xludf.DUMMYFUNCTION("""COMPUTED_VALUE"""),"Бинокли серии ENDEAVOR ED")</f>
        <v>Бинокли серии ENDEAVOR ED</v>
      </c>
      <c r="B72" s="113"/>
      <c r="C72" s="37"/>
      <c r="D72" s="15"/>
    </row>
    <row r="73" spans="1:4" ht="33" outlineLevel="1" x14ac:dyDescent="0.2">
      <c r="A73" s="27" t="str">
        <f ca="1">IFERROR(__xludf.DUMMYFUNCTION("""COMPUTED_VALUE"""),"END832")</f>
        <v>END832</v>
      </c>
      <c r="B73" s="89" t="str">
        <f ca="1">IFERROR(__xludf.DUMMYFUNCTION("""COMPUTED_VALUE"""),"Бинокль ENDEAVOR ED 8X32 Призмы -ROOF, ED стекла, светопропускание 90%, водонепроницаемый")</f>
        <v>Бинокль ENDEAVOR ED 8X32 Призмы -ROOF, ED стекла, светопропускание 90%, водонепроницаемый</v>
      </c>
      <c r="C73" s="20">
        <v>23900</v>
      </c>
      <c r="D73" s="44"/>
    </row>
    <row r="74" spans="1:4" ht="33" outlineLevel="1" x14ac:dyDescent="0.2">
      <c r="A74" s="16" t="str">
        <f ca="1">IFERROR(__xludf.DUMMYFUNCTION("""COMPUTED_VALUE"""),"END842")</f>
        <v>END842</v>
      </c>
      <c r="B74" s="87" t="str">
        <f ca="1">IFERROR(__xludf.DUMMYFUNCTION("""COMPUTED_VALUE"""),"Бинокль ENDEAVOR ED 8X42 Призмы -ROOF, ED стекла, светопропускание 90%, водонепроницаемый")</f>
        <v>Бинокль ENDEAVOR ED 8X42 Призмы -ROOF, ED стекла, светопропускание 90%, водонепроницаемый</v>
      </c>
      <c r="C74" s="21">
        <v>27000</v>
      </c>
      <c r="D74" s="15"/>
    </row>
    <row r="75" spans="1:4" ht="21" customHeight="1" outlineLevel="1" x14ac:dyDescent="0.2">
      <c r="A75" s="112" t="str">
        <f ca="1">IFERROR(__xludf.DUMMYFUNCTION("""COMPUTED_VALUE""")," БИНОКЛИ TASCO")</f>
        <v xml:space="preserve"> БИНОКЛИ TASCO</v>
      </c>
      <c r="B75" s="113"/>
      <c r="C75" s="39"/>
      <c r="D75" s="15"/>
    </row>
    <row r="76" spans="1:4" ht="18.75" outlineLevel="1" x14ac:dyDescent="0.2">
      <c r="A76" s="16" t="str">
        <f ca="1">IFERROR(__xludf.DUMMYFUNCTION("""COMPUTED_VALUE"""),"TAS821")</f>
        <v>TAS821</v>
      </c>
      <c r="B76" s="87" t="str">
        <f ca="1">IFERROR(__xludf.DUMMYFUNCTION("""COMPUTED_VALUE"""),"Бинокль TASCO 8х21 Система призмы - ROOF.")</f>
        <v>Бинокль TASCO 8х21 Система призмы - ROOF.</v>
      </c>
      <c r="C76" s="20">
        <v>1700</v>
      </c>
      <c r="D76" s="15"/>
    </row>
    <row r="77" spans="1:4" ht="18.75" outlineLevel="1" x14ac:dyDescent="0.2">
      <c r="A77" s="112" t="str">
        <f ca="1">IFERROR(__xludf.DUMMYFUNCTION("""COMPUTED_VALUE"""),"МОНОКУЛЯРЫ И ЗРИТЕЛЬНЫЕ ТРУБЫ ")</f>
        <v xml:space="preserve">МОНОКУЛЯРЫ И ЗРИТЕЛЬНЫЕ ТРУБЫ </v>
      </c>
      <c r="B77" s="113"/>
      <c r="C77" s="46"/>
      <c r="D77" s="44"/>
    </row>
    <row r="78" spans="1:4" ht="26.25" customHeight="1" outlineLevel="1" x14ac:dyDescent="0.2">
      <c r="A78" s="112" t="str">
        <f ca="1">IFERROR(__xludf.DUMMYFUNCTION("""COMPUTED_VALUE"""),"МОНОКУЛЯРЫ и ЗРИТЕЛЬНЫЕ ТРУБЫ КОМЗ")</f>
        <v>МОНОКУЛЯРЫ и ЗРИТЕЛЬНЫЕ ТРУБЫ КОМЗ</v>
      </c>
      <c r="B78" s="113"/>
      <c r="C78" s="39"/>
      <c r="D78" s="15"/>
    </row>
    <row r="79" spans="1:4" ht="18.75" outlineLevel="1" x14ac:dyDescent="0.2">
      <c r="A79" s="27" t="str">
        <f ca="1">IFERROR(__xludf.DUMMYFUNCTION("""COMPUTED_VALUE"""),"ZT156066")</f>
        <v>ZT156066</v>
      </c>
      <c r="B79" s="89" t="str">
        <f ca="1">IFERROR(__xludf.DUMMYFUNCTION("""COMPUTED_VALUE"""),"Зрительная труба ЗТ 15-60х66 ""ДАЛЬ""")</f>
        <v>Зрительная труба ЗТ 15-60х66 "ДАЛЬ"</v>
      </c>
      <c r="C79" s="20">
        <v>27000</v>
      </c>
      <c r="D79" s="15"/>
    </row>
    <row r="80" spans="1:4" ht="18.75" outlineLevel="1" x14ac:dyDescent="0.2">
      <c r="A80" s="16" t="str">
        <f ca="1">IFERROR(__xludf.DUMMYFUNCTION("""COMPUTED_VALUE"""),"ZT82440")</f>
        <v>ZT82440</v>
      </c>
      <c r="B80" s="87" t="str">
        <f ca="1">IFERROR(__xludf.DUMMYFUNCTION("""COMPUTED_VALUE"""),"Зрительная труба ЗТ 8-24Х40М ")</f>
        <v xml:space="preserve">Зрительная труба ЗТ 8-24Х40М </v>
      </c>
      <c r="C80" s="21" t="s">
        <v>15</v>
      </c>
      <c r="D80" s="15"/>
    </row>
    <row r="81" spans="1:4" ht="16.5" outlineLevel="1" x14ac:dyDescent="0.25">
      <c r="A81" s="16" t="str">
        <f ca="1">IFERROR(__xludf.DUMMYFUNCTION("""COMPUTED_VALUE"""),"MP830")</f>
        <v>MP830</v>
      </c>
      <c r="B81" s="87" t="str">
        <f ca="1">IFERROR(__xludf.DUMMYFUNCTION("""COMPUTED_VALUE"""),"Монокуляр МП2 8х30М ")</f>
        <v xml:space="preserve">Монокуляр МП2 8х30М </v>
      </c>
      <c r="C81" s="21">
        <v>8000</v>
      </c>
      <c r="D81" s="18"/>
    </row>
    <row r="82" spans="1:4" ht="16.5" outlineLevel="1" x14ac:dyDescent="0.25">
      <c r="A82" s="16" t="str">
        <f ca="1">IFERROR(__xludf.DUMMYFUNCTION("""COMPUTED_VALUE"""),"MP1040")</f>
        <v>MP1040</v>
      </c>
      <c r="B82" s="87" t="str">
        <f ca="1">IFERROR(__xludf.DUMMYFUNCTION("""COMPUTED_VALUE"""),"Монокуляр МП 1Ох40 ")</f>
        <v xml:space="preserve">Монокуляр МП 1Ох40 </v>
      </c>
      <c r="C82" s="21" t="s">
        <v>15</v>
      </c>
      <c r="D82" s="18"/>
    </row>
    <row r="83" spans="1:4" ht="18.75" outlineLevel="1" x14ac:dyDescent="0.2">
      <c r="A83" s="16" t="str">
        <f ca="1">IFERROR(__xludf.DUMMYFUNCTION("""COMPUTED_VALUE"""),"MP1040R")</f>
        <v>MP1040R</v>
      </c>
      <c r="B83" s="87" t="str">
        <f ca="1">IFERROR(__xludf.DUMMYFUNCTION("""COMPUTED_VALUE"""),"Монокуляр МП 1Ох40 с рубиновым покрытием")</f>
        <v>Монокуляр МП 1Ох40 с рубиновым покрытием</v>
      </c>
      <c r="C83" s="21" t="s">
        <v>15</v>
      </c>
      <c r="D83" s="15"/>
    </row>
    <row r="84" spans="1:4" ht="18.75" outlineLevel="1" x14ac:dyDescent="0.2">
      <c r="A84" s="16" t="str">
        <f ca="1">IFERROR(__xludf.DUMMYFUNCTION("""COMPUTED_VALUE"""),"MP1245")</f>
        <v>MP1245</v>
      </c>
      <c r="B84" s="87" t="str">
        <f ca="1">IFERROR(__xludf.DUMMYFUNCTION("""COMPUTED_VALUE"""),"Монокуляр МП 12х45 ")</f>
        <v xml:space="preserve">Монокуляр МП 12х45 </v>
      </c>
      <c r="C84" s="21" t="s">
        <v>15</v>
      </c>
      <c r="D84" s="15"/>
    </row>
    <row r="85" spans="1:4" ht="16.5" outlineLevel="1" x14ac:dyDescent="0.25">
      <c r="A85" s="16" t="str">
        <f ca="1">IFERROR(__xludf.DUMMYFUNCTION("""COMPUTED_VALUE"""),"MP1550")</f>
        <v>MP1550</v>
      </c>
      <c r="B85" s="87" t="str">
        <f ca="1">IFERROR(__xludf.DUMMYFUNCTION("""COMPUTED_VALUE"""),"Монокуляр МП 15х50")</f>
        <v>Монокуляр МП 15х50</v>
      </c>
      <c r="C85" s="21" t="s">
        <v>15</v>
      </c>
      <c r="D85" s="18"/>
    </row>
    <row r="86" spans="1:4" ht="16.5" outlineLevel="1" x14ac:dyDescent="0.25">
      <c r="A86" s="16" t="str">
        <f ca="1">IFERROR(__xludf.DUMMYFUNCTION("""COMPUTED_VALUE"""),"MP1550R")</f>
        <v>MP1550R</v>
      </c>
      <c r="B86" s="87" t="str">
        <f ca="1">IFERROR(__xludf.DUMMYFUNCTION("""COMPUTED_VALUE"""),"Монокуляр МП 15х50 с рубиновым покрытием")</f>
        <v>Монокуляр МП 15х50 с рубиновым покрытием</v>
      </c>
      <c r="C86" s="21">
        <v>11300</v>
      </c>
      <c r="D86" s="18"/>
    </row>
    <row r="87" spans="1:4" ht="18.75" outlineLevel="1" x14ac:dyDescent="0.2">
      <c r="A87" s="112" t="str">
        <f ca="1">IFERROR(__xludf.DUMMYFUNCTION("""COMPUTED_VALUE"""),"МОНОКУЛЯРЫ OLYMPUS")</f>
        <v>МОНОКУЛЯРЫ OLYMPUS</v>
      </c>
      <c r="B87" s="113"/>
      <c r="C87" s="37"/>
      <c r="D87" s="15"/>
    </row>
    <row r="88" spans="1:4" ht="18.75" outlineLevel="1" x14ac:dyDescent="0.2">
      <c r="A88" s="16" t="str">
        <f ca="1">IFERROR(__xludf.DUMMYFUNCTION("""COMPUTED_VALUE"""),"OLYMP616")</f>
        <v>OLYMP616</v>
      </c>
      <c r="B88" s="87" t="str">
        <f ca="1">IFERROR(__xludf.DUMMYFUNCTION("""COMPUTED_VALUE"""),"Монокуляр OLYMPUS Monocular i 6x16")</f>
        <v>Монокуляр OLYMPUS Monocular i 6x16</v>
      </c>
      <c r="C88" s="47">
        <v>5000</v>
      </c>
      <c r="D88" s="15"/>
    </row>
    <row r="89" spans="1:4" ht="16.5" outlineLevel="1" x14ac:dyDescent="0.25">
      <c r="A89" s="112" t="str">
        <f ca="1">IFERROR(__xludf.DUMMYFUNCTION("""COMPUTED_VALUE"""),"ЗРИТЕЛЬНЫУ ТРУБЫ VECTOR-OPTICS")</f>
        <v>ЗРИТЕЛЬНЫУ ТРУБЫ VECTOR-OPTICS</v>
      </c>
      <c r="B89" s="113"/>
      <c r="C89" s="37"/>
      <c r="D89" s="18"/>
    </row>
    <row r="90" spans="1:4" ht="18.75" outlineLevel="1" x14ac:dyDescent="0.2">
      <c r="A90" s="16" t="str">
        <f ca="1">IFERROR(__xludf.DUMMYFUNCTION("""COMPUTED_VALUE"""),"SCSS-11")</f>
        <v>SCSS-11</v>
      </c>
      <c r="B90" s="87" t="str">
        <f ca="1">IFERROR(__xludf.DUMMYFUNCTION("""COMPUTED_VALUE"""),"Зрительная труба PARAGON 9-27X56 ED MINI с настольным штативом, арт.SCSS-11")</f>
        <v>Зрительная труба PARAGON 9-27X56 ED MINI с настольным штативом, арт.SCSS-11</v>
      </c>
      <c r="C90" s="20">
        <v>18600</v>
      </c>
      <c r="D90" s="15"/>
    </row>
    <row r="91" spans="1:4" ht="33" outlineLevel="1" x14ac:dyDescent="0.2">
      <c r="A91" s="16" t="str">
        <f ca="1">IFERROR(__xludf.DUMMYFUNCTION("""COMPUTED_VALUE"""),"SCSS-01")</f>
        <v>SCSS-01</v>
      </c>
      <c r="B91" s="87" t="str">
        <f ca="1">IFERROR(__xludf.DUMMYFUNCTION("""COMPUTED_VALUE"""),"Зрительная труба FORESTER 20-60X60 SPOTTING SCOPE с настольным штативом, арт.SCSS-01")</f>
        <v>Зрительная труба FORESTER 20-60X60 SPOTTING SCOPE с настольным штативом, арт.SCSS-01</v>
      </c>
      <c r="C91" s="21" t="s">
        <v>15</v>
      </c>
      <c r="D91" s="15"/>
    </row>
    <row r="92" spans="1:4" ht="16.5" outlineLevel="1" x14ac:dyDescent="0.25">
      <c r="A92" s="16" t="str">
        <f ca="1">IFERROR(__xludf.DUMMYFUNCTION("""COMPUTED_VALUE"""),"SCSS-03")</f>
        <v>SCSS-03</v>
      </c>
      <c r="B92" s="87" t="str">
        <f ca="1">IFERROR(__xludf.DUMMYFUNCTION("""COMPUTED_VALUE"""),"Зрительная труба CONTINENTAL PRO 20-60X80 ED FFP,без штатива,арт.SCSS-03")</f>
        <v>Зрительная труба CONTINENTAL PRO 20-60X80 ED FFP,без штатива,арт.SCSS-03</v>
      </c>
      <c r="C92" s="21" t="s">
        <v>15</v>
      </c>
      <c r="D92" s="18"/>
    </row>
    <row r="93" spans="1:4" ht="18.75" outlineLevel="1" x14ac:dyDescent="0.2">
      <c r="A93" s="112" t="str">
        <f ca="1">IFERROR(__xludf.DUMMYFUNCTION("""COMPUTED_VALUE"""),"ОПТИЧЕСКИЕ ПРИЦЕЛЫ")</f>
        <v>ОПТИЧЕСКИЕ ПРИЦЕЛЫ</v>
      </c>
      <c r="B93" s="113"/>
      <c r="C93" s="25"/>
      <c r="D93" s="15"/>
    </row>
    <row r="94" spans="1:4" ht="18.75" outlineLevel="1" x14ac:dyDescent="0.2">
      <c r="A94" s="112" t="str">
        <f ca="1">IFERROR(__xludf.DUMMYFUNCTION("""COMPUTED_VALUE"""),"ОПТИЧЕСКИЕ ПРИЦЕЛЫ БЕЛАРУСЬ, ВИЛЕЙКА")</f>
        <v>ОПТИЧЕСКИЕ ПРИЦЕЛЫ БЕЛАРУСЬ, ВИЛЕЙКА</v>
      </c>
      <c r="B94" s="113"/>
      <c r="C94" s="37"/>
      <c r="D94" s="15"/>
    </row>
    <row r="95" spans="1:4" ht="33" outlineLevel="1" x14ac:dyDescent="0.2">
      <c r="A95" s="16" t="str">
        <f ca="1">IFERROR(__xludf.DUMMYFUNCTION("""COMPUTED_VALUE"""),"P424T")</f>
        <v>P424T</v>
      </c>
      <c r="B95" s="87" t="str">
        <f ca="1">IFERROR(__xludf.DUMMYFUNCTION("""COMPUTED_VALUE"""),"Оптический прицел ПОСП 4х24Т с креплением на карабин ТИГР/СКС, подсветка сетки")</f>
        <v>Оптический прицел ПОСП 4х24Т с креплением на карабин ТИГР/СКС, подсветка сетки</v>
      </c>
      <c r="C95" s="20">
        <v>33400</v>
      </c>
      <c r="D95" s="15"/>
    </row>
    <row r="96" spans="1:4" ht="33" outlineLevel="1" x14ac:dyDescent="0.2">
      <c r="A96" s="27" t="str">
        <f ca="1">IFERROR(__xludf.DUMMYFUNCTION("""COMPUTED_VALUE"""),"P424B")</f>
        <v>P424B</v>
      </c>
      <c r="B96" s="89" t="str">
        <f ca="1">IFERROR(__xludf.DUMMYFUNCTION("""COMPUTED_VALUE"""),"Оптический прицел ПОСП 4х24В с креплением на карабин Вепрь/Сайга, подсветка сетки")</f>
        <v>Оптический прицел ПОСП 4х24В с креплением на карабин Вепрь/Сайга, подсветка сетки</v>
      </c>
      <c r="C96" s="48">
        <v>33400</v>
      </c>
      <c r="D96" s="15"/>
    </row>
    <row r="97" spans="1:4" ht="33" outlineLevel="1" x14ac:dyDescent="0.2">
      <c r="A97" s="16" t="str">
        <f ca="1">IFERROR(__xludf.DUMMYFUNCTION("""COMPUTED_VALUE"""),"P624T")</f>
        <v>P624T</v>
      </c>
      <c r="B97" s="87" t="str">
        <f ca="1">IFERROR(__xludf.DUMMYFUNCTION("""COMPUTED_VALUE"""),"Оптический прицел ПОСП 6х24 с креплением на карабин ТИГР/СКС, подсветка сетки")</f>
        <v>Оптический прицел ПОСП 6х24 с креплением на карабин ТИГР/СКС, подсветка сетки</v>
      </c>
      <c r="C97" s="21">
        <v>33400</v>
      </c>
      <c r="D97" s="15"/>
    </row>
    <row r="98" spans="1:4" ht="33" outlineLevel="1" x14ac:dyDescent="0.25">
      <c r="A98" s="16" t="str">
        <f ca="1">IFERROR(__xludf.DUMMYFUNCTION("""COMPUTED_VALUE"""),"P624B")</f>
        <v>P624B</v>
      </c>
      <c r="B98" s="87" t="str">
        <f ca="1">IFERROR(__xludf.DUMMYFUNCTION("""COMPUTED_VALUE"""),"Оптический прицел ПОСП 6х24В с креплением на карабин Вепрь/Сайга, подсветка сетки")</f>
        <v>Оптический прицел ПОСП 6х24В с креплением на карабин Вепрь/Сайга, подсветка сетки</v>
      </c>
      <c r="C98" s="16" t="s">
        <v>15</v>
      </c>
      <c r="D98" s="18"/>
    </row>
    <row r="99" spans="1:4" ht="33" outlineLevel="1" x14ac:dyDescent="0.2">
      <c r="A99" s="16" t="str">
        <f ca="1">IFERROR(__xludf.DUMMYFUNCTION("""COMPUTED_VALUE"""),"POSP642B")</f>
        <v>POSP642B</v>
      </c>
      <c r="B99" s="87" t="str">
        <f ca="1">IFERROR(__xludf.DUMMYFUNCTION("""COMPUTED_VALUE"""),"Оптический прицел ПОСП 6х42В с креплением на карабин Вепрь/Сайга, подсветка сетки")</f>
        <v>Оптический прицел ПОСП 6х42В с креплением на карабин Вепрь/Сайга, подсветка сетки</v>
      </c>
      <c r="C99" s="21">
        <v>33400</v>
      </c>
      <c r="D99" s="15"/>
    </row>
    <row r="100" spans="1:4" ht="33" outlineLevel="1" x14ac:dyDescent="0.25">
      <c r="A100" s="16" t="str">
        <f ca="1">IFERROR(__xludf.DUMMYFUNCTION("""COMPUTED_VALUE"""),"P642D")</f>
        <v>P642D</v>
      </c>
      <c r="B100" s="87" t="str">
        <f ca="1">IFERROR(__xludf.DUMMYFUNCTION("""COMPUTED_VALUE"""),"Оптический прицел ПОСП 6х42Д с креплением на карабин ТИГР/СКС, подсветка сетки, диоптрийная регулировка")</f>
        <v>Оптический прицел ПОСП 6х42Д с креплением на карабин ТИГР/СКС, подсветка сетки, диоптрийная регулировка</v>
      </c>
      <c r="C100" s="21">
        <v>33400</v>
      </c>
      <c r="D100" s="18"/>
    </row>
    <row r="101" spans="1:4" ht="33" outlineLevel="1" x14ac:dyDescent="0.25">
      <c r="A101" s="16" t="str">
        <f ca="1">IFERROR(__xludf.DUMMYFUNCTION("""COMPUTED_VALUE"""),"P842T")</f>
        <v>P842T</v>
      </c>
      <c r="B101" s="87" t="str">
        <f ca="1">IFERROR(__xludf.DUMMYFUNCTION("""COMPUTED_VALUE"""),"Оптический прицел ПОСП 8х42 с креплением на карабин ТИГР/СКС, подсветка сетки")</f>
        <v>Оптический прицел ПОСП 8х42 с креплением на карабин ТИГР/СКС, подсветка сетки</v>
      </c>
      <c r="C101" s="21" t="s">
        <v>15</v>
      </c>
      <c r="D101" s="18"/>
    </row>
    <row r="102" spans="1:4" ht="33" outlineLevel="1" x14ac:dyDescent="0.2">
      <c r="A102" s="16" t="str">
        <f ca="1">IFERROR(__xludf.DUMMYFUNCTION("""COMPUTED_VALUE"""),"POSP842B")</f>
        <v>POSP842B</v>
      </c>
      <c r="B102" s="87" t="str">
        <f ca="1">IFERROR(__xludf.DUMMYFUNCTION("""COMPUTED_VALUE"""),"Оптический прицел ПОСП 8х42В с креплением на карабин Вепрь/Сайга, подсветка сетки")</f>
        <v>Оптический прицел ПОСП 8х42В с креплением на карабин Вепрь/Сайга, подсветка сетки</v>
      </c>
      <c r="C102" s="21">
        <v>33500</v>
      </c>
      <c r="D102" s="15"/>
    </row>
    <row r="103" spans="1:4" ht="33" outlineLevel="1" x14ac:dyDescent="0.2">
      <c r="A103" s="16" t="str">
        <f ca="1">IFERROR(__xludf.DUMMYFUNCTION("""COMPUTED_VALUE"""),"P842M6D
")</f>
        <v xml:space="preserve">P842M6D
</v>
      </c>
      <c r="B103" s="87" t="str">
        <f ca="1">IFERROR(__xludf.DUMMYFUNCTION("""COMPUTED_VALUE"""),"Оптический прицел ПОСП 8х42 М6 Д с креплением на карабин ТИГР/СКС, подсветка сетки")</f>
        <v>Оптический прицел ПОСП 8х42 М6 Д с креплением на карабин ТИГР/СКС, подсветка сетки</v>
      </c>
      <c r="C103" s="21" t="s">
        <v>15</v>
      </c>
      <c r="D103" s="15"/>
    </row>
    <row r="104" spans="1:4" ht="33" outlineLevel="1" x14ac:dyDescent="0.2">
      <c r="A104" s="16" t="str">
        <f ca="1">IFERROR(__xludf.DUMMYFUNCTION("""COMPUTED_VALUE"""),"P842M6BDPRO")</f>
        <v>P842M6BDPRO</v>
      </c>
      <c r="B104" s="87" t="str">
        <f ca="1">IFERROR(__xludf.DUMMYFUNCTION("""COMPUTED_VALUE"""),"Оптический прицел ПОСП 8х42 M6 ВД PRO с креплением на карабин Вепрь/Сайга, подсветка сетки")</f>
        <v>Оптический прицел ПОСП 8х42 M6 ВД PRO с креплением на карабин Вепрь/Сайга, подсветка сетки</v>
      </c>
      <c r="C104" s="21">
        <v>33500</v>
      </c>
      <c r="D104" s="15"/>
    </row>
    <row r="105" spans="1:4" ht="33" outlineLevel="1" x14ac:dyDescent="0.25">
      <c r="A105" s="16" t="str">
        <f ca="1">IFERROR(__xludf.DUMMYFUNCTION("""COMPUTED_VALUE"""),"P2624В")</f>
        <v>P2624В</v>
      </c>
      <c r="B105" s="87" t="str">
        <f ca="1">IFERROR(__xludf.DUMMYFUNCTION("""COMPUTED_VALUE"""),"Оптический прицел ПОСП 2-6x24 В c креплением на карабин Вепрь/Сайга, подсветка сетки")</f>
        <v>Оптический прицел ПОСП 2-6x24 В c креплением на карабин Вепрь/Сайга, подсветка сетки</v>
      </c>
      <c r="C105" s="45">
        <v>36000</v>
      </c>
      <c r="D105" s="18"/>
    </row>
    <row r="106" spans="1:4" ht="33" outlineLevel="1" x14ac:dyDescent="0.2">
      <c r="A106" s="16" t="str">
        <f ca="1">IFERROR(__xludf.DUMMYFUNCTION("""COMPUTED_VALUE"""),"P3942B")</f>
        <v>P3942B</v>
      </c>
      <c r="B106" s="87" t="str">
        <f ca="1">IFERROR(__xludf.DUMMYFUNCTION("""COMPUTED_VALUE"""),"Оптический прицел ПОСП 3-9x42 В с креплением на карабин Вепрь/Сайга, подсветка сетки")</f>
        <v>Оптический прицел ПОСП 3-9x42 В с креплением на карабин Вепрь/Сайга, подсветка сетки</v>
      </c>
      <c r="C106" s="48">
        <v>44000</v>
      </c>
      <c r="D106" s="15"/>
    </row>
    <row r="107" spans="1:4" ht="16.5" outlineLevel="1" x14ac:dyDescent="0.25">
      <c r="A107" s="112" t="str">
        <f ca="1">IFERROR(__xludf.DUMMYFUNCTION("""COMPUTED_VALUE"""),"ОПТИЧЕСКИЕ ПРИЦЕЛЫ VANGUARD")</f>
        <v>ОПТИЧЕСКИЕ ПРИЦЕЛЫ VANGUARD</v>
      </c>
      <c r="B107" s="113"/>
      <c r="C107" s="37"/>
      <c r="D107" s="18"/>
    </row>
    <row r="108" spans="1:4" ht="18.75" outlineLevel="1" x14ac:dyDescent="0.2">
      <c r="A108" s="112" t="str">
        <f ca="1">IFERROR(__xludf.DUMMYFUNCTION("""COMPUTED_VALUE"""),"серия ENDEAVOR RS IV")</f>
        <v>серия ENDEAVOR RS IV</v>
      </c>
      <c r="B108" s="113"/>
      <c r="C108" s="37"/>
      <c r="D108" s="15"/>
    </row>
    <row r="109" spans="1:4" ht="33" outlineLevel="1" x14ac:dyDescent="0.2">
      <c r="A109" s="16" t="str">
        <f ca="1">IFERROR(__xludf.DUMMYFUNCTION("""COMPUTED_VALUE"""),"ENDRS2832")</f>
        <v>ENDRS2832</v>
      </c>
      <c r="B109" s="87" t="str">
        <f ca="1">IFERROR(__xludf.DUMMYFUNCTION("""COMPUTED_VALUE"""),"Оптический прицел ENDEAVOR RS IV 2-8x32 D,подсветка сетки Duplex, Ø 30мм, азот")</f>
        <v>Оптический прицел ENDEAVOR RS IV 2-8x32 D,подсветка сетки Duplex, Ø 30мм, азот</v>
      </c>
      <c r="C109" s="20">
        <v>29500</v>
      </c>
      <c r="D109" s="15"/>
    </row>
    <row r="110" spans="1:4" ht="33" outlineLevel="1" x14ac:dyDescent="0.2">
      <c r="A110" s="16" t="str">
        <f ca="1">IFERROR(__xludf.DUMMYFUNCTION("""COMPUTED_VALUE"""),"ENDRS251050")</f>
        <v>ENDRS251050</v>
      </c>
      <c r="B110" s="87" t="str">
        <f ca="1">IFERROR(__xludf.DUMMYFUNCTION("""COMPUTED_VALUE"""),"Оптический прицел ENDEAVOR RS IV 2,5-10x50 DS6, посветка сетки DS6,Ø 30мм, азот")</f>
        <v>Оптический прицел ENDEAVOR RS IV 2,5-10x50 DS6, посветка сетки DS6,Ø 30мм, азот</v>
      </c>
      <c r="C110" s="21">
        <v>37400</v>
      </c>
      <c r="D110" s="15"/>
    </row>
    <row r="111" spans="1:4" ht="16.5" outlineLevel="1" x14ac:dyDescent="0.25">
      <c r="A111" s="125" t="str">
        <f ca="1">IFERROR(__xludf.DUMMYFUNCTION("""COMPUTED_VALUE"""),"ОПТИЧЕСКИЕ ПРИЦЕЛЫ NIKKO STIRLING")</f>
        <v>ОПТИЧЕСКИЕ ПРИЦЕЛЫ NIKKO STIRLING</v>
      </c>
      <c r="B111" s="120"/>
      <c r="C111" s="37"/>
      <c r="D111" s="18"/>
    </row>
    <row r="112" spans="1:4" ht="18.75" outlineLevel="1" x14ac:dyDescent="0.2">
      <c r="A112" s="112" t="str">
        <f ca="1">IFERROR(__xludf.DUMMYFUNCTION("""COMPUTED_VALUE"""),"серия AIRKING")</f>
        <v>серия AIRKING</v>
      </c>
      <c r="B112" s="113"/>
      <c r="C112" s="37"/>
      <c r="D112" s="15"/>
    </row>
    <row r="113" spans="1:4" ht="33" outlineLevel="1" x14ac:dyDescent="0.25">
      <c r="A113" s="16" t="str">
        <f ca="1">IFERROR(__xludf.DUMMYFUNCTION("""COMPUTED_VALUE"""),"NGRAI432")</f>
        <v>NGRAI432</v>
      </c>
      <c r="B113" s="87" t="str">
        <f ca="1">IFERROR(__xludf.DUMMYFUNCTION("""COMPUTED_VALUE"""),"Оптический прицел Nikko Stirling серии AIRKING 4x32 AO,сетка Half MD, Ø 25,4мм, с подсветкой, моноблок призма 11мм.(NGRAI432)")</f>
        <v>Оптический прицел Nikko Stirling серии AIRKING 4x32 AO,сетка Half MD, Ø 25,4мм, с подсветкой, моноблок призма 11мм.(NGRAI432)</v>
      </c>
      <c r="C113" s="49">
        <v>10500</v>
      </c>
      <c r="D113" s="18"/>
    </row>
    <row r="114" spans="1:4" ht="33" outlineLevel="1" x14ac:dyDescent="0.2">
      <c r="A114" s="16" t="str">
        <f ca="1">IFERROR(__xludf.DUMMYFUNCTION("""COMPUTED_VALUE"""),"NGRAI3942")</f>
        <v>NGRAI3942</v>
      </c>
      <c r="B114" s="87" t="str">
        <f ca="1">IFERROR(__xludf.DUMMYFUNCTION("""COMPUTED_VALUE"""),"Оптический прицел Nikko Stirling серии AIRKING 3-9x42 AO,сетка Half MD, Ø 25,4мм, с подсветкой, моноблок призма 11мм.(NGRAI3942)")</f>
        <v>Оптический прицел Nikko Stirling серии AIRKING 3-9x42 AO,сетка Half MD, Ø 25,4мм, с подсветкой, моноблок призма 11мм.(NGRAI3942)</v>
      </c>
      <c r="C114" s="48">
        <v>12400</v>
      </c>
      <c r="D114" s="15"/>
    </row>
    <row r="115" spans="1:4" ht="18.75" outlineLevel="1" x14ac:dyDescent="0.2">
      <c r="A115" s="112" t="str">
        <f ca="1">IFERROR(__xludf.DUMMYFUNCTION("""COMPUTED_VALUE"""),"серия BOAR EATER")</f>
        <v>серия BOAR EATER</v>
      </c>
      <c r="B115" s="113"/>
      <c r="C115" s="39"/>
      <c r="D115" s="15"/>
    </row>
    <row r="116" spans="1:4" ht="33" outlineLevel="1" x14ac:dyDescent="0.25">
      <c r="A116" s="16" t="str">
        <f ca="1">IFERROR(__xludf.DUMMYFUNCTION("""COMPUTED_VALUE"""),"NSBE1424")</f>
        <v>NSBE1424</v>
      </c>
      <c r="B116" s="87" t="str">
        <f ca="1">IFERROR(__xludf.DUMMYFUNCTION("""COMPUTED_VALUE"""),"Оптический прицел Nikko Stirling серии BOAR EATER 1-4x24 ,сетка 4Dot гравированная, Ø 30мм,подсветка точки.(NSBE1424)")</f>
        <v>Оптический прицел Nikko Stirling серии BOAR EATER 1-4x24 ,сетка 4Dot гравированная, Ø 30мм,подсветка точки.(NSBE1424)</v>
      </c>
      <c r="C116" s="16" t="s">
        <v>15</v>
      </c>
      <c r="D116" s="18"/>
    </row>
    <row r="117" spans="1:4" ht="33" outlineLevel="1" x14ac:dyDescent="0.2">
      <c r="A117" s="16" t="str">
        <f ca="1">IFERROR(__xludf.DUMMYFUNCTION("""COMPUTED_VALUE"""),"NSBE1624")</f>
        <v>NSBE1624</v>
      </c>
      <c r="B117" s="87" t="str">
        <f ca="1">IFERROR(__xludf.DUMMYFUNCTION("""COMPUTED_VALUE"""),"Оптический прицел Nikko Stirling серии BOAR EATER 1-6x24 , сетка 4Dot гравированная, Ø 30мм,подсветка точки.(NSBE1624)")</f>
        <v>Оптический прицел Nikko Stirling серии BOAR EATER 1-6x24 , сетка 4Dot гравированная, Ø 30мм,подсветка точки.(NSBE1624)</v>
      </c>
      <c r="C117" s="21">
        <v>30000</v>
      </c>
      <c r="D117" s="15"/>
    </row>
    <row r="118" spans="1:4" ht="18.75" outlineLevel="1" x14ac:dyDescent="0.2">
      <c r="A118" s="112" t="str">
        <f ca="1">IFERROR(__xludf.DUMMYFUNCTION("""COMPUTED_VALUE"""),"серия DIAMOND")</f>
        <v>серия DIAMOND</v>
      </c>
      <c r="B118" s="113"/>
      <c r="C118" s="39"/>
      <c r="D118" s="44"/>
    </row>
    <row r="119" spans="1:4" ht="33" outlineLevel="1" x14ac:dyDescent="0.2">
      <c r="A119" s="16" t="str">
        <f ca="1">IFERROR(__xludf.DUMMYFUNCTION("""COMPUTED_VALUE"""),"NDSI15644")</f>
        <v>NDSI15644</v>
      </c>
      <c r="B119" s="87" t="str">
        <f ca="1">IFERROR(__xludf.DUMMYFUNCTION("""COMPUTED_VALUE"""),"Оптический прицел Nikko Stirling серии DIAMOND 1,5-6x44,сетка No 4 dot, Ø 30мм,подсветка точки.(NDSI15644)")</f>
        <v>Оптический прицел Nikko Stirling серии DIAMOND 1,5-6x44,сетка No 4 dot, Ø 30мм,подсветка точки.(NDSI15644)</v>
      </c>
      <c r="C119" s="49">
        <v>18700</v>
      </c>
      <c r="D119" s="15"/>
    </row>
    <row r="120" spans="1:4" ht="33" outlineLevel="1" x14ac:dyDescent="0.25">
      <c r="A120" s="16" t="str">
        <f ca="1">IFERROR(__xludf.DUMMYFUNCTION("""COMPUTED_VALUE"""),"NDSI3942")</f>
        <v>NDSI3942</v>
      </c>
      <c r="B120" s="87" t="str">
        <f ca="1">IFERROR(__xludf.DUMMYFUNCTION("""COMPUTED_VALUE"""),"Оптический прицел Nikko Stirling серии DIAMOND 3-9x42,сетка No 4 dot, Ø 30мм,подсветка точки.(NDSI3942)")</f>
        <v>Оптический прицел Nikko Stirling серии DIAMOND 3-9x42,сетка No 4 dot, Ø 30мм,подсветка точки.(NDSI3942)</v>
      </c>
      <c r="C120" s="48">
        <v>18300</v>
      </c>
      <c r="D120" s="18"/>
    </row>
    <row r="121" spans="1:4" ht="33" outlineLevel="1" x14ac:dyDescent="0.2">
      <c r="A121" s="16" t="str">
        <f ca="1">IFERROR(__xludf.DUMMYFUNCTION("""COMPUTED_VALUE"""),"NDSI31242")</f>
        <v>NDSI31242</v>
      </c>
      <c r="B121" s="87" t="str">
        <f ca="1">IFERROR(__xludf.DUMMYFUNCTION("""COMPUTED_VALUE"""),"Оптический прицел Nikko Stirling серии DIAMOND 3-12x42,сетка No 4 dot, Ø 30мм,подсветка точки.(NDSI31242)")</f>
        <v>Оптический прицел Nikko Stirling серии DIAMOND 3-12x42,сетка No 4 dot, Ø 30мм,подсветка точки.(NDSI31242)</v>
      </c>
      <c r="C121" s="48">
        <v>19000</v>
      </c>
      <c r="D121" s="15"/>
    </row>
    <row r="122" spans="1:4" ht="33" outlineLevel="1" x14ac:dyDescent="0.2">
      <c r="A122" s="16" t="str">
        <f ca="1">IFERROR(__xludf.DUMMYFUNCTION("""COMPUTED_VALUE"""),"N41644HMD")</f>
        <v>N41644HMD</v>
      </c>
      <c r="B122" s="87" t="str">
        <f ca="1">IFERROR(__xludf.DUMMYFUNCTION("""COMPUTED_VALUE"""),"Оптический прицел Nikko Stirling серии DIAMOND 4-16x44, Skeleton HMD, FFP, Ø 30мм,подсветка красная.(NSFFP41644HMD)")</f>
        <v>Оптический прицел Nikko Stirling серии DIAMOND 4-16x44, Skeleton HMD, FFP, Ø 30мм,подсветка красная.(NSFFP41644HMD)</v>
      </c>
      <c r="C122" s="48">
        <v>35400</v>
      </c>
      <c r="D122" s="15"/>
    </row>
    <row r="123" spans="1:4" ht="18.75" outlineLevel="1" x14ac:dyDescent="0.2">
      <c r="A123" s="121" t="str">
        <f ca="1">IFERROR(__xludf.DUMMYFUNCTION("""COMPUTED_VALUE""")," ОПТИЧЕСКИЕ ПРИЦЕЛЫ VECTOR OPTICS")</f>
        <v xml:space="preserve"> ОПТИЧЕСКИЕ ПРИЦЕЛЫ VECTOR OPTICS</v>
      </c>
      <c r="B123" s="120"/>
      <c r="C123" s="37"/>
      <c r="D123" s="44"/>
    </row>
    <row r="124" spans="1:4" ht="16.5" outlineLevel="1" x14ac:dyDescent="0.25">
      <c r="A124" s="112" t="str">
        <f ca="1">IFERROR(__xludf.DUMMYFUNCTION("""COMPUTED_VALUE"""),"серия MATIZ")</f>
        <v>серия MATIZ</v>
      </c>
      <c r="B124" s="113"/>
      <c r="C124" s="25"/>
      <c r="D124" s="18"/>
    </row>
    <row r="125" spans="1:4" ht="33" outlineLevel="1" x14ac:dyDescent="0.2">
      <c r="A125" s="16" t="str">
        <f ca="1">IFERROR(__xludf.DUMMYFUNCTION("""COMPUTED_VALUE"""),"SCOM-33")</f>
        <v>SCOM-33</v>
      </c>
      <c r="B125" s="87" t="str">
        <f ca="1">IFERROR(__xludf.DUMMYFUNCTION("""COMPUTED_VALUE"""),"Оптический прицел Vector Optics MATIZ 2-7х32, сетка MOA 1 SFP, Ø 25,4 мм,арт.(SCOM-33), азотонаполненный, без подсветки до 308 кл. включительно")</f>
        <v>Оптический прицел Vector Optics MATIZ 2-7х32, сетка MOA 1 SFP, Ø 25,4 мм,арт.(SCOM-33), азотонаполненный, без подсветки до 308 кл. включительно</v>
      </c>
      <c r="C125" s="21" t="s">
        <v>15</v>
      </c>
      <c r="D125" s="44"/>
    </row>
    <row r="126" spans="1:4" ht="33" outlineLevel="1" x14ac:dyDescent="0.2">
      <c r="A126" s="16" t="str">
        <f ca="1">IFERROR(__xludf.DUMMYFUNCTION("""COMPUTED_VALUE"""),"SCOM-32")</f>
        <v>SCOM-32</v>
      </c>
      <c r="B126" s="87" t="str">
        <f ca="1">IFERROR(__xludf.DUMMYFUNCTION("""COMPUTED_VALUE"""),"Оптический прицел Vector Optics MATIZ 3-9х40, сетка MILDOT 1 SFP, Ø 25,4 мм,арт.(SCOM-32), азотонаполненный, без подсветки до 308 кл. включительно")</f>
        <v>Оптический прицел Vector Optics MATIZ 3-9х40, сетка MILDOT 1 SFP, Ø 25,4 мм,арт.(SCOM-32), азотонаполненный, без подсветки до 308 кл. включительно</v>
      </c>
      <c r="C126" s="21">
        <v>6200</v>
      </c>
      <c r="D126" s="15"/>
    </row>
    <row r="127" spans="1:4" ht="33" outlineLevel="1" x14ac:dyDescent="0.2">
      <c r="A127" s="16" t="str">
        <f ca="1">IFERROR(__xludf.DUMMYFUNCTION("""COMPUTED_VALUE"""),"SCOM-29")</f>
        <v>SCOM-29</v>
      </c>
      <c r="B127" s="87" t="str">
        <f ca="1">IFERROR(__xludf.DUMMYFUNCTION("""COMPUTED_VALUE"""),"Оптический прицел Vector Optics MATIZ 4-12х40AO, сетка 1 SFP, Ø 25,4 мм,арт.(SCOM-29), азотонаполненный, без подсветки до 308 кл. включительно")</f>
        <v>Оптический прицел Vector Optics MATIZ 4-12х40AO, сетка 1 SFP, Ø 25,4 мм,арт.(SCOM-29), азотонаполненный, без подсветки до 308 кл. включительно</v>
      </c>
      <c r="C127" s="48">
        <v>8500</v>
      </c>
      <c r="D127" s="15"/>
    </row>
    <row r="128" spans="1:4" ht="18.75" outlineLevel="1" x14ac:dyDescent="0.2">
      <c r="A128" s="112" t="str">
        <f ca="1">IFERROR(__xludf.DUMMYFUNCTION("""COMPUTED_VALUE"""),"серия HUGO")</f>
        <v>серия HUGO</v>
      </c>
      <c r="B128" s="113"/>
      <c r="C128" s="39"/>
      <c r="D128" s="44"/>
    </row>
    <row r="129" spans="1:4" ht="33" outlineLevel="1" x14ac:dyDescent="0.25">
      <c r="A129" s="16" t="str">
        <f ca="1">IFERROR(__xludf.DUMMYFUNCTION("""COMPUTED_VALUE"""),"SCOM-30")</f>
        <v>SCOM-30</v>
      </c>
      <c r="B129" s="87" t="str">
        <f ca="1">IFERROR(__xludf.DUMMYFUNCTION("""COMPUTED_VALUE"""),"Оптический прицел Vector Optics HUGO 3-12х44, сетка 22LR Rimfire SFP, Ø 25,4 мм, азотонаполненный, без подсветки, до 30-06 кл включительно.")</f>
        <v>Оптический прицел Vector Optics HUGO 3-12х44, сетка 22LR Rimfire SFP, Ø 25,4 мм, азотонаполненный, без подсветки, до 30-06 кл включительно.</v>
      </c>
      <c r="C129" s="16">
        <v>7900</v>
      </c>
      <c r="D129" s="18"/>
    </row>
    <row r="130" spans="1:4" ht="33" outlineLevel="1" x14ac:dyDescent="0.2">
      <c r="A130" s="16" t="str">
        <f ca="1">IFERROR(__xludf.DUMMYFUNCTION("""COMPUTED_VALUE"""),"SCOL-29")</f>
        <v>SCOL-29</v>
      </c>
      <c r="B130" s="87" t="str">
        <f ca="1">IFERROR(__xludf.DUMMYFUNCTION("""COMPUTED_VALUE"""),"Оптический прицел Vector Optics HUGO 4-16X44 сетка VOW-10BDC  Ø 25,4 азотонаполненный, без подсветки")</f>
        <v>Оптический прицел Vector Optics HUGO 4-16X44 сетка VOW-10BDC  Ø 25,4 азотонаполненный, без подсветки</v>
      </c>
      <c r="C130" s="16" t="s">
        <v>15</v>
      </c>
      <c r="D130" s="15"/>
    </row>
    <row r="131" spans="1:4" ht="18.75" outlineLevel="1" x14ac:dyDescent="0.2">
      <c r="A131" s="112" t="str">
        <f ca="1">IFERROR(__xludf.DUMMYFUNCTION("""COMPUTED_VALUE"""),"серия FORESTER")</f>
        <v>серия FORESTER</v>
      </c>
      <c r="B131" s="113"/>
      <c r="C131" s="39"/>
      <c r="D131" s="15"/>
    </row>
    <row r="132" spans="1:4" ht="33" outlineLevel="1" x14ac:dyDescent="0.25">
      <c r="A132" s="16" t="str">
        <f ca="1">IFERROR(__xludf.DUMMYFUNCTION("""COMPUTED_VALUE"""),"SCOC-32")</f>
        <v>SCOC-32</v>
      </c>
      <c r="B132" s="87" t="str">
        <f ca="1">IFERROR(__xludf.DUMMYFUNCTION("""COMPUTED_VALUE"""),"Оптический прицел Vector Optics FORESTER 1-5х24 GENII COYOTE FDE,арт.(SCOC-32)")</f>
        <v>Оптический прицел Vector Optics FORESTER 1-5х24 GENII COYOTE FDE,арт.(SCOC-32)</v>
      </c>
      <c r="C132" s="20">
        <v>13000</v>
      </c>
      <c r="D132" s="18"/>
    </row>
    <row r="133" spans="1:4" ht="33" outlineLevel="1" x14ac:dyDescent="0.2">
      <c r="A133" s="16" t="str">
        <f ca="1">IFERROR(__xludf.DUMMYFUNCTION("""COMPUTED_VALUE"""),"SCOМ-35")</f>
        <v>SCOМ-35</v>
      </c>
      <c r="B133" s="87" t="str">
        <f ca="1">IFERROR(__xludf.DUMMYFUNCTION("""COMPUTED_VALUE"""),"Оптический прицел Vector Optics FORESTER JR. 3-9х40, крест с точкой, Ø 30 мм,арт.(SCOМ-35), азотонаполненный, без подсветки, до 308 кл включительно.")</f>
        <v>Оптический прицел Vector Optics FORESTER JR. 3-9х40, крест с точкой, Ø 30 мм,арт.(SCOМ-35), азотонаполненный, без подсветки, до 308 кл включительно.</v>
      </c>
      <c r="C133" s="48">
        <v>6600</v>
      </c>
      <c r="D133" s="44"/>
    </row>
    <row r="134" spans="1:4" ht="49.5" outlineLevel="1" x14ac:dyDescent="0.2">
      <c r="A134" s="16" t="str">
        <f ca="1">IFERROR(__xludf.DUMMYFUNCTION("""COMPUTED_VALUE"""),"SCOМ-02")</f>
        <v>SCOМ-02</v>
      </c>
      <c r="B134" s="87" t="str">
        <f ca="1">IFERROR(__xludf.DUMMYFUNCTION("""COMPUTED_VALUE"""),"Оптический прицел Vector Optics FORESTER 2-10х40 SFP, крест с точкой, Ø 30 мм,арт.(SCOМ-02), азотонаполненный, подсветка 11 уровней, до 308 кл включительно.")</f>
        <v>Оптический прицел Vector Optics FORESTER 2-10х40 SFP, крест с точкой, Ø 30 мм,арт.(SCOМ-02), азотонаполненный, подсветка 11 уровней, до 308 кл включительно.</v>
      </c>
      <c r="C134" s="21">
        <v>13500</v>
      </c>
      <c r="D134" s="15"/>
    </row>
    <row r="135" spans="1:4" ht="33" outlineLevel="1" x14ac:dyDescent="0.2">
      <c r="A135" s="16" t="str">
        <f ca="1">IFERROR(__xludf.DUMMYFUNCTION("""COMPUTED_VALUE"""),"SCOC-03II")</f>
        <v>SCOC-03II</v>
      </c>
      <c r="B135" s="87" t="str">
        <f ca="1">IFERROR(__xludf.DUMMYFUNCTION("""COMPUTED_VALUE"""),"Оптический прицел Vector Optics FORESTER 1-5X24 GENII SFP сетка Plex, German 4,  Ø 30, подсветка 11 уровней, азотонаполненный")</f>
        <v>Оптический прицел Vector Optics FORESTER 1-5X24 GENII SFP сетка Plex, German 4,  Ø 30, подсветка 11 уровней, азотонаполненный</v>
      </c>
      <c r="C135" s="16">
        <v>10500</v>
      </c>
      <c r="D135" s="15"/>
    </row>
    <row r="136" spans="1:4" ht="33" outlineLevel="1" x14ac:dyDescent="0.2">
      <c r="A136" s="16" t="str">
        <f ca="1">IFERROR(__xludf.DUMMYFUNCTION("""COMPUTED_VALUE"""),"SCOC-38")</f>
        <v>SCOC-38</v>
      </c>
      <c r="B136" s="87" t="str">
        <f ca="1">IFERROR(__xludf.DUMMYFUNCTION("""COMPUTED_VALUE"""),"Оптический прицел Vector Optics FORESTER 1-8X24 сетка Plex, German 4,  Ø 30, подсветка 11 уровней, азотонаполненный")</f>
        <v>Оптический прицел Vector Optics FORESTER 1-8X24 сетка Plex, German 4,  Ø 30, подсветка 11 уровней, азотонаполненный</v>
      </c>
      <c r="C136" s="16">
        <v>15600</v>
      </c>
      <c r="D136" s="15"/>
    </row>
    <row r="137" spans="1:4" ht="18.75" outlineLevel="1" x14ac:dyDescent="0.2">
      <c r="A137" s="112" t="str">
        <f ca="1">IFERROR(__xludf.DUMMYFUNCTION("""COMPUTED_VALUE"""),"серия GRIZZLY")</f>
        <v>серия GRIZZLY</v>
      </c>
      <c r="B137" s="113"/>
      <c r="C137" s="50"/>
      <c r="D137" s="15"/>
    </row>
    <row r="138" spans="1:4" ht="49.5" outlineLevel="1" x14ac:dyDescent="0.2">
      <c r="A138" s="16" t="str">
        <f ca="1">IFERROR(__xludf.DUMMYFUNCTION("""COMPUTED_VALUE"""),"SCOC-41")</f>
        <v>SCOC-41</v>
      </c>
      <c r="B138" s="87" t="str">
        <f ca="1">IFERROR(__xludf.DUMMYFUNCTION("""COMPUTED_VALUE"""),"Оптический прицел Vector Optics GRIZZLY 1-4х24 German#4, крест с точкой, Ø 30 мм,арт.(SCOC-41), азотонаполненный, подсветка 11 уровней, до 30-06 кл включительно.")</f>
        <v>Оптический прицел Vector Optics GRIZZLY 1-4х24 German#4, крест с точкой, Ø 30 мм,арт.(SCOC-41), азотонаполненный, подсветка 11 уровней, до 30-06 кл включительно.</v>
      </c>
      <c r="C138" s="49">
        <v>12000</v>
      </c>
      <c r="D138" s="15"/>
    </row>
    <row r="139" spans="1:4" ht="33" outlineLevel="1" x14ac:dyDescent="0.2">
      <c r="A139" s="16" t="str">
        <f ca="1">IFERROR(__xludf.DUMMYFUNCTION("""COMPUTED_VALUE"""),"SCOM-42")</f>
        <v>SCOM-42</v>
      </c>
      <c r="B139" s="87" t="str">
        <f ca="1">IFERROR(__xludf.DUMMYFUNCTION("""COMPUTED_VALUE"""),"Оптический прицел Vector Optics GRIZZLY 3-12X56I FIBER сетка German#4,  подсветка 6 уровней,Ø 30 мм, азотонаполненный")</f>
        <v>Оптический прицел Vector Optics GRIZZLY 3-12X56I FIBER сетка German#4,  подсветка 6 уровней,Ø 30 мм, азотонаполненный</v>
      </c>
      <c r="C139" s="21">
        <v>23100</v>
      </c>
      <c r="D139" s="15"/>
    </row>
    <row r="140" spans="1:4" ht="18.75" outlineLevel="1" x14ac:dyDescent="0.2">
      <c r="A140" s="112" t="str">
        <f ca="1">IFERROR(__xludf.DUMMYFUNCTION("""COMPUTED_VALUE"""),"серия MUSTANG")</f>
        <v>серия MUSTANG</v>
      </c>
      <c r="B140" s="113"/>
      <c r="C140" s="50"/>
      <c r="D140" s="15"/>
    </row>
    <row r="141" spans="1:4" ht="33" outlineLevel="1" x14ac:dyDescent="0.2">
      <c r="A141" s="16" t="str">
        <f ca="1">IFERROR(__xludf.DUMMYFUNCTION("""COMPUTED_VALUE"""),"SCFF-36")</f>
        <v>SCFF-36</v>
      </c>
      <c r="B141" s="87" t="str">
        <f ca="1">IFERROR(__xludf.DUMMYFUNCTION("""COMPUTED_VALUE"""),"Оптический прицел Vector Optics MUSTANG GENII 1-4х24 FFP,  Ø 30 мм,арт.(SCFF-36), азотонаполненный, подсветка 6 уровней, до 30-06 кл включительно.")</f>
        <v>Оптический прицел Vector Optics MUSTANG GENII 1-4х24 FFP,  Ø 30 мм,арт.(SCFF-36), азотонаполненный, подсветка 6 уровней, до 30-06 кл включительно.</v>
      </c>
      <c r="C141" s="49">
        <v>15000</v>
      </c>
      <c r="D141" s="15"/>
    </row>
    <row r="142" spans="1:4" ht="33" outlineLevel="1" x14ac:dyDescent="0.2">
      <c r="A142" s="16" t="str">
        <f ca="1">IFERROR(__xludf.DUMMYFUNCTION("""COMPUTED_VALUE"""),"SCOC-29")</f>
        <v>SCOC-29</v>
      </c>
      <c r="B142" s="87" t="str">
        <f ca="1">IFERROR(__xludf.DUMMYFUNCTION("""COMPUTED_VALUE"""),"Оптический прицел Vector Optics MUSTANG GENII 1-4х30 SFP,  Ø 30 мм,арт.(SCOC-29), азотонаполненный, подсветка 6 уровней, до 30-06 кл включительно.")</f>
        <v>Оптический прицел Vector Optics MUSTANG GENII 1-4х30 SFP,  Ø 30 мм,арт.(SCOC-29), азотонаполненный, подсветка 6 уровней, до 30-06 кл включительно.</v>
      </c>
      <c r="C142" s="23">
        <v>14000</v>
      </c>
      <c r="D142" s="15"/>
    </row>
    <row r="143" spans="1:4" ht="18.75" outlineLevel="1" x14ac:dyDescent="0.2">
      <c r="A143" s="112" t="str">
        <f ca="1">IFERROR(__xludf.DUMMYFUNCTION("""COMPUTED_VALUE"""),"серия VEYRON")</f>
        <v>серия VEYRON</v>
      </c>
      <c r="B143" s="113"/>
      <c r="C143" s="37"/>
      <c r="D143" s="15"/>
    </row>
    <row r="144" spans="1:4" ht="33" outlineLevel="1" x14ac:dyDescent="0.2">
      <c r="A144" s="16" t="str">
        <f ca="1">IFERROR(__xludf.DUMMYFUNCTION("""COMPUTED_VALUE"""),"SCFF-21")</f>
        <v>SCFF-21</v>
      </c>
      <c r="B144" s="87" t="str">
        <f ca="1">IFERROR(__xludf.DUMMYFUNCTION("""COMPUTED_VALUE"""),"Оптический прицел Vector Optics VEYRON 3-12х44, сетка FFP, Ø 30 мм,арт.(SCFF-21), азотонаполненный, без подсветки, до 308 Win. включительно.")</f>
        <v>Оптический прицел Vector Optics VEYRON 3-12х44, сетка FFP, Ø 30 мм,арт.(SCFF-21), азотонаполненный, без подсветки, до 308 Win. включительно.</v>
      </c>
      <c r="C144" s="45" t="s">
        <v>15</v>
      </c>
      <c r="D144" s="15"/>
    </row>
    <row r="145" spans="1:4" ht="33" outlineLevel="1" x14ac:dyDescent="0.2">
      <c r="A145" s="16" t="str">
        <f ca="1">IFERROR(__xludf.DUMMYFUNCTION("""COMPUTED_VALUE"""),"SCFF-37")</f>
        <v>SCFF-37</v>
      </c>
      <c r="B145" s="87" t="str">
        <f ca="1">IFERROR(__xludf.DUMMYFUNCTION("""COMPUTED_VALUE"""),"Оптический прицел Vector Optics VEYRON 6-24х44IR, сетка FFP, Ø 30 мм,арт.(SCFF-37), азотонаполненный, c подсветкой, до 308 Win. включительно.")</f>
        <v>Оптический прицел Vector Optics VEYRON 6-24х44IR, сетка FFP, Ø 30 мм,арт.(SCFF-37), азотонаполненный, c подсветкой, до 308 Win. включительно.</v>
      </c>
      <c r="C145" s="48">
        <v>26500</v>
      </c>
      <c r="D145" s="15"/>
    </row>
    <row r="146" spans="1:4" ht="33" outlineLevel="1" x14ac:dyDescent="0.25">
      <c r="A146" s="16" t="str">
        <f ca="1">IFERROR(__xludf.DUMMYFUNCTION("""COMPUTED_VALUE"""),"SCOC-43")</f>
        <v>SCOC-43</v>
      </c>
      <c r="B146" s="87" t="str">
        <f ca="1">IFERROR(__xludf.DUMMYFUNCTION("""COMPUTED_VALUE"""),"Оптический прицел Vector Optics VEYRON 2-8X32IR сетка MPR-V5, Ø 30 мм, азотонаполненный, c подсветкой, ударопрочность до 750 g")</f>
        <v>Оптический прицел Vector Optics VEYRON 2-8X32IR сетка MPR-V5, Ø 30 мм, азотонаполненный, c подсветкой, ударопрочность до 750 g</v>
      </c>
      <c r="C146" s="45" t="s">
        <v>15</v>
      </c>
      <c r="D146" s="18"/>
    </row>
    <row r="147" spans="1:4" ht="33" outlineLevel="1" x14ac:dyDescent="0.2">
      <c r="A147" s="16" t="str">
        <f ca="1">IFERROR(__xludf.DUMMYFUNCTION("""COMPUTED_VALUE"""),"SCOM-40")</f>
        <v>SCOM-40</v>
      </c>
      <c r="B147" s="87" t="str">
        <f ca="1">IFERROR(__xludf.DUMMYFUNCTION("""COMPUTED_VALUE"""),"Оптический прицел Vector Optics VEYRON 3-12X44IR сетка MPR-V10, Ø 30 мм,  азотонаполненный, c подсветкой, ударопрочность до 750 g")</f>
        <v>Оптический прицел Vector Optics VEYRON 3-12X44IR сетка MPR-V10, Ø 30 мм,  азотонаполненный, c подсветкой, ударопрочность до 750 g</v>
      </c>
      <c r="C147" s="21">
        <v>13300</v>
      </c>
      <c r="D147" s="15"/>
    </row>
    <row r="148" spans="1:4" ht="33" outlineLevel="1" x14ac:dyDescent="0.2">
      <c r="A148" s="16" t="str">
        <f ca="1">IFERROR(__xludf.DUMMYFUNCTION("""COMPUTED_VALUE"""),"SCFF-38")</f>
        <v>SCFF-38</v>
      </c>
      <c r="B148" s="87" t="str">
        <f ca="1">IFERROR(__xludf.DUMMYFUNCTION("""COMPUTED_VALUE"""),"Оптический прицел Vector Optics VEYRON 4-16X44IR FFP, сетка MPR-V5, Ø 30 мм,  азотонаполненный, c подсветкой, ударопрочность до 750 g")</f>
        <v>Оптический прицел Vector Optics VEYRON 4-16X44IR FFP, сетка MPR-V5, Ø 30 мм,  азотонаполненный, c подсветкой, ударопрочность до 750 g</v>
      </c>
      <c r="C148" s="48">
        <v>22600</v>
      </c>
      <c r="D148" s="15"/>
    </row>
    <row r="149" spans="1:4" ht="18.75" outlineLevel="1" x14ac:dyDescent="0.2">
      <c r="A149" s="112" t="str">
        <f ca="1">IFERROR(__xludf.DUMMYFUNCTION("""COMPUTED_VALUE"""),"серия TAURUS")</f>
        <v>серия TAURUS</v>
      </c>
      <c r="B149" s="113"/>
      <c r="C149" s="14"/>
      <c r="D149" s="15"/>
    </row>
    <row r="150" spans="1:4" ht="33" outlineLevel="1" x14ac:dyDescent="0.25">
      <c r="A150" s="16" t="str">
        <f ca="1">IFERROR(__xludf.DUMMYFUNCTION("""COMPUTED_VALUE"""),"SCFF-27")</f>
        <v>SCFF-27</v>
      </c>
      <c r="B150" s="87" t="str">
        <f ca="1">IFERROR(__xludf.DUMMYFUNCTION("""COMPUTED_VALUE"""),"Оптический прицел Vector Optics TAURUS 1-6х24 FFP,арт.(SCFF-27) ,Ø 30 мм, азотонаполненный, подсветка 6 уровней, до 30-06 кл включительно.")</f>
        <v>Оптический прицел Vector Optics TAURUS 1-6х24 FFP,арт.(SCFF-27) ,Ø 30 мм, азотонаполненный, подсветка 6 уровней, до 30-06 кл включительно.</v>
      </c>
      <c r="C150" s="20">
        <v>22000</v>
      </c>
      <c r="D150" s="18"/>
    </row>
    <row r="151" spans="1:4" ht="33" outlineLevel="1" x14ac:dyDescent="0.2">
      <c r="A151" s="3" t="str">
        <f ca="1">IFERROR(__xludf.DUMMYFUNCTION("""COMPUTED_VALUE"""),"SCOC-42")</f>
        <v>SCOC-42</v>
      </c>
      <c r="B151" s="89" t="str">
        <f ca="1">IFERROR(__xludf.DUMMYFUNCTION("""COMPUTED_VALUE"""),"Оптический прицел Vector Optics TAURUS 1-6х24 SFP,арт.(SCOC-42),Ø 30 мм, азотонаполненный, подсветка 6 уровней, до 30-06 кл включительно.")</f>
        <v>Оптический прицел Vector Optics TAURUS 1-6х24 SFP,арт.(SCOC-42),Ø 30 мм, азотонаполненный, подсветка 6 уровней, до 30-06 кл включительно.</v>
      </c>
      <c r="C151" s="21">
        <v>20000</v>
      </c>
      <c r="D151" s="15"/>
    </row>
    <row r="152" spans="1:4" ht="33" outlineLevel="1" x14ac:dyDescent="0.25">
      <c r="A152" s="16" t="str">
        <f ca="1">IFERROR(__xludf.DUMMYFUNCTION("""COMPUTED_VALUE"""),"SCFF-11")</f>
        <v>SCFF-11</v>
      </c>
      <c r="B152" s="87" t="str">
        <f ca="1">IFERROR(__xludf.DUMMYFUNCTION("""COMPUTED_VALUE"""),"Оптический прицел Vector Optics TAURUS 3-18х50 FFP,арт.(SCFF-11),азотонаполненный, c подсветкой, до 308 Win. включительно.")</f>
        <v>Оптический прицел Vector Optics TAURUS 3-18х50 FFP,арт.(SCFF-11),азотонаполненный, c подсветкой, до 308 Win. включительно.</v>
      </c>
      <c r="C152" s="21" t="s">
        <v>15</v>
      </c>
      <c r="D152" s="18"/>
    </row>
    <row r="153" spans="1:4" ht="33" outlineLevel="1" x14ac:dyDescent="0.25">
      <c r="A153" s="27" t="str">
        <f ca="1">IFERROR(__xludf.DUMMYFUNCTION("""COMPUTED_VALUE"""),"SCFF-17")</f>
        <v>SCFF-17</v>
      </c>
      <c r="B153" s="90" t="str">
        <f ca="1">IFERROR(__xludf.DUMMYFUNCTION("""COMPUTED_VALUE"""),"Оптический прицел Vector Optics TAURUS 4-24X50 FFP, сетка MPX1, Ø 30 мм,  азотонаполненный, c подсветкой, ударопрочность до 1000 g")</f>
        <v>Оптический прицел Vector Optics TAURUS 4-24X50 FFP, сетка MPX1, Ø 30 мм,  азотонаполненный, c подсветкой, ударопрочность до 1000 g</v>
      </c>
      <c r="C153" s="21">
        <v>26000</v>
      </c>
      <c r="D153" s="15"/>
    </row>
    <row r="154" spans="1:4" ht="33" outlineLevel="1" x14ac:dyDescent="0.2">
      <c r="A154" s="16" t="str">
        <f ca="1">IFERROR(__xludf.DUMMYFUNCTION("""COMPUTED_VALUE"""),"SCFF-14")</f>
        <v>SCFF-14</v>
      </c>
      <c r="B154" s="87" t="str">
        <f ca="1">IFERROR(__xludf.DUMMYFUNCTION("""COMPUTED_VALUE"""),"Оптический прицел Vector Optics TAURUS 5-30X56 FFP, сетка MPX1,азотонаполненный, c подсветкой, до 308 Win. включительно.")</f>
        <v>Оптический прицел Vector Optics TAURUS 5-30X56 FFP, сетка MPX1,азотонаполненный, c подсветкой, до 308 Win. включительно.</v>
      </c>
      <c r="C154" s="21" t="s">
        <v>15</v>
      </c>
      <c r="D154" s="15"/>
    </row>
    <row r="155" spans="1:4" ht="16.5" x14ac:dyDescent="0.25">
      <c r="A155" s="112" t="str">
        <f ca="1">IFERROR(__xludf.DUMMYFUNCTION("""COMPUTED_VALUE"""),"серия CONSTANTINE")</f>
        <v>серия CONSTANTINE</v>
      </c>
      <c r="B155" s="113"/>
      <c r="C155" s="39"/>
      <c r="D155" s="18"/>
    </row>
    <row r="156" spans="1:4" ht="49.5" x14ac:dyDescent="0.25">
      <c r="A156" s="22" t="str">
        <f ca="1">IFERROR(__xludf.DUMMYFUNCTION("""COMPUTED_VALUE"""),"SCOC-36")</f>
        <v>SCOC-36</v>
      </c>
      <c r="B156" s="87" t="str">
        <f ca="1">IFERROR(__xludf.DUMMYFUNCTION("""COMPUTED_VALUE"""),"Оптический прицел Vector Optics CONSTANTINE 1-6х24 SFP, сетка VECNS-G4F, Ø 30 мм,арт.(SCOC-36), азотонаполненный, c подсветкой 11 уровней яркости, до 7000Дж.")</f>
        <v>Оптический прицел Vector Optics CONSTANTINE 1-6х24 SFP, сетка VECNS-G4F, Ø 30 мм,арт.(SCOC-36), азотонаполненный, c подсветкой 11 уровней яркости, до 7000Дж.</v>
      </c>
      <c r="C156" s="51">
        <v>20000</v>
      </c>
      <c r="D156" s="18"/>
    </row>
    <row r="157" spans="1:4" ht="49.5" x14ac:dyDescent="0.2">
      <c r="A157" s="16" t="str">
        <f ca="1">IFERROR(__xludf.DUMMYFUNCTION("""COMPUTED_VALUE"""),"SCOC-27")</f>
        <v>SCOC-27</v>
      </c>
      <c r="B157" s="87" t="str">
        <f ca="1">IFERROR(__xludf.DUMMYFUNCTION("""COMPUTED_VALUE"""),"Оптический прицел Vector Optics CONSTANTINE 1-8х24 SFP, сетка VOS-EHT, Ø 30 мм,арт.(SCOC-27), азотонаполненный, c подсветкой 11 уровней яркости, до 7000Дж.")</f>
        <v>Оптический прицел Vector Optics CONSTANTINE 1-8х24 SFP, сетка VOS-EHT, Ø 30 мм,арт.(SCOC-27), азотонаполненный, c подсветкой 11 уровней яркости, до 7000Дж.</v>
      </c>
      <c r="C157" s="45">
        <v>20500</v>
      </c>
      <c r="D157" s="15"/>
    </row>
    <row r="158" spans="1:4" ht="49.5" x14ac:dyDescent="0.25">
      <c r="A158" s="16" t="str">
        <f ca="1">IFERROR(__xludf.DUMMYFUNCTION("""COMPUTED_VALUE"""),"SCFF-32")</f>
        <v>SCFF-32</v>
      </c>
      <c r="B158" s="87" t="str">
        <f ca="1">IFERROR(__xludf.DUMMYFUNCTION("""COMPUTED_VALUE"""),"Оптический прицел Vector Optics CONSTANTINE 1-8х24 FFP, сетка VOS-EHT MIL, Ø 30 мм,арт.(SCFF-32), азотонаполненный, c подсветкой 11 уровней яркости, до 7000Дж.")</f>
        <v>Оптический прицел Vector Optics CONSTANTINE 1-8х24 FFP, сетка VOS-EHT MIL, Ø 30 мм,арт.(SCFF-32), азотонаполненный, c подсветкой 11 уровней яркости, до 7000Дж.</v>
      </c>
      <c r="C158" s="45">
        <v>23000</v>
      </c>
      <c r="D158" s="18"/>
    </row>
    <row r="159" spans="1:4" ht="33" x14ac:dyDescent="0.2">
      <c r="A159" s="16" t="str">
        <f ca="1">IFERROR(__xludf.DUMMYFUNCTION("""COMPUTED_VALUE"""),"SCFF-60")</f>
        <v>SCFF-60</v>
      </c>
      <c r="B159" s="87" t="str">
        <f ca="1">IFERROR(__xludf.DUMMYFUNCTION("""COMPUTED_VALUE"""),"Оптический прицел Vector Optics CONSTANTINE 1-8х24 RAR, сетка VCO-1 MIL, Ø 30 мм,  азотонаполненный, c подсветкой")</f>
        <v>Оптический прицел Vector Optics CONSTANTINE 1-8х24 RAR, сетка VCO-1 MIL, Ø 30 мм,  азотонаполненный, c подсветкой</v>
      </c>
      <c r="C159" s="45">
        <v>22500</v>
      </c>
      <c r="D159" s="15"/>
    </row>
    <row r="160" spans="1:4" ht="49.5" x14ac:dyDescent="0.2">
      <c r="A160" s="16" t="str">
        <f ca="1">IFERROR(__xludf.DUMMYFUNCTION("""COMPUTED_VALUE"""),"SCOC-31")</f>
        <v>SCOC-31</v>
      </c>
      <c r="B160" s="87" t="str">
        <f ca="1">IFERROR(__xludf.DUMMYFUNCTION("""COMPUTED_VALUE"""),"Оптический прицел Vector Optics CONSTANTINE 1-10х24 SFP, сетка VOS-TMOA с дальномерной шкалой, Ø 30 мм,  азотонаполненный, c подсветкой, ударопрочность до 1000 g")</f>
        <v>Оптический прицел Vector Optics CONSTANTINE 1-10х24 SFP, сетка VOS-TMOA с дальномерной шкалой, Ø 30 мм,  азотонаполненный, c подсветкой, ударопрочность до 1000 g</v>
      </c>
      <c r="C160" s="45">
        <v>24700</v>
      </c>
      <c r="D160" s="52"/>
    </row>
    <row r="161" spans="1:4" ht="49.5" x14ac:dyDescent="0.2">
      <c r="A161" s="16" t="str">
        <f ca="1">IFERROR(__xludf.DUMMYFUNCTION("""COMPUTED_VALUE"""),"SCOC-35")</f>
        <v>SCOC-35</v>
      </c>
      <c r="B161" s="87" t="str">
        <f ca="1">IFERROR(__xludf.DUMMYFUNCTION("""COMPUTED_VALUE"""),"Оптический прицел Vector Optics CONSTANTINE 1-10X24 SFP FIBER, сетка Plex, German 4,  Ø 30, подсветка 11 уровней, азотонаполненный c подсветкой, ударопрочность до 1000 g")</f>
        <v>Оптический прицел Vector Optics CONSTANTINE 1-10X24 SFP FIBER, сетка Plex, German 4,  Ø 30, подсветка 11 уровней, азотонаполненный c подсветкой, ударопрочность до 1000 g</v>
      </c>
      <c r="C161" s="48">
        <v>28300</v>
      </c>
      <c r="D161" s="15"/>
    </row>
    <row r="162" spans="1:4" ht="18.75" x14ac:dyDescent="0.2">
      <c r="A162" s="112" t="str">
        <f ca="1">IFERROR(__xludf.DUMMYFUNCTION("""COMPUTED_VALUE"""),"серия  MINOTAUR")</f>
        <v>серия  MINOTAUR</v>
      </c>
      <c r="B162" s="113"/>
      <c r="C162" s="37"/>
      <c r="D162" s="15"/>
    </row>
    <row r="163" spans="1:4" ht="33" x14ac:dyDescent="0.2">
      <c r="A163" s="16" t="str">
        <f ca="1">IFERROR(__xludf.DUMMYFUNCTION("""COMPUTED_VALUE"""),"SCOL-39")</f>
        <v>SCOL-39</v>
      </c>
      <c r="B163" s="87" t="str">
        <f ca="1">IFERROR(__xludf.DUMMYFUNCTION("""COMPUTED_VALUE"""),"Оптический прицел Vector Optics  MINOTAUR GENII 10-50X60 MFL, сетка VEMP-LR,  Ø 34,подсветка 10 уровней плюс 1 NV")</f>
        <v>Оптический прицел Vector Optics  MINOTAUR GENII 10-50X60 MFL, сетка VEMP-LR,  Ø 34,подсветка 10 уровней плюс 1 NV</v>
      </c>
      <c r="C163" s="49">
        <v>36200</v>
      </c>
      <c r="D163" s="15"/>
    </row>
    <row r="164" spans="1:4" ht="33" x14ac:dyDescent="0.2">
      <c r="A164" s="16" t="str">
        <f ca="1">IFERROR(__xludf.DUMMYFUNCTION("""COMPUTED_VALUE"""),"SCOL-40")</f>
        <v>SCOL-40</v>
      </c>
      <c r="B164" s="87" t="str">
        <f ca="1">IFERROR(__xludf.DUMMYFUNCTION("""COMPUTED_VALUE"""),"Оптический прицел Vector Optics  MINOTAUR GENII 12-60X60 MFL, сетка  MOA VEMP-LR,  Ø 34,подсветка 10 уровней плюс 1 NV")</f>
        <v>Оптический прицел Vector Optics  MINOTAUR GENII 12-60X60 MFL, сетка  MOA VEMP-LR,  Ø 34,подсветка 10 уровней плюс 1 NV</v>
      </c>
      <c r="C164" s="48">
        <v>42500</v>
      </c>
      <c r="D164" s="15"/>
    </row>
    <row r="165" spans="1:4" ht="18.75" x14ac:dyDescent="0.2">
      <c r="A165" s="112" t="str">
        <f ca="1">IFERROR(__xludf.DUMMYFUNCTION("""COMPUTED_VALUE"""),"серия PARAGON")</f>
        <v>серия PARAGON</v>
      </c>
      <c r="B165" s="113"/>
      <c r="C165" s="25"/>
      <c r="D165" s="15"/>
    </row>
    <row r="166" spans="1:4" ht="49.5" x14ac:dyDescent="0.2">
      <c r="A166" s="16" t="str">
        <f ca="1">IFERROR(__xludf.DUMMYFUNCTION("""COMPUTED_VALUE"""),"SCOL-T44")</f>
        <v>SCOL-T44</v>
      </c>
      <c r="B166" s="87" t="str">
        <f ca="1">IFERROR(__xludf.DUMMYFUNCTION("""COMPUTED_VALUE"""),"Оптический прицел Vector Optics PARAGON 4-20х50 1"" TACTICAL SFP,сетка VEPG-TMIL Ø 25,4 мм,арт.(SCOL-T44), азотонаполненный, c подсветкой 6 уровней яркости, до 6000Дж.")</f>
        <v>Оптический прицел Vector Optics PARAGON 4-20х50 1" TACTICAL SFP,сетка VEPG-TMIL Ø 25,4 мм,арт.(SCOL-T44), азотонаполненный, c подсветкой 6 уровней яркости, до 6000Дж.</v>
      </c>
      <c r="C166" s="48">
        <v>25000</v>
      </c>
      <c r="D166" s="15"/>
    </row>
    <row r="167" spans="1:4" ht="18.75" x14ac:dyDescent="0.2">
      <c r="A167" s="112" t="str">
        <f ca="1">IFERROR(__xludf.DUMMYFUNCTION("""COMPUTED_VALUE"""),"серия CONTINENTAL")</f>
        <v>серия CONTINENTAL</v>
      </c>
      <c r="B167" s="113"/>
      <c r="C167" s="37"/>
      <c r="D167" s="15"/>
    </row>
    <row r="168" spans="1:4" ht="49.5" x14ac:dyDescent="0.2">
      <c r="A168" s="16" t="str">
        <f ca="1">IFERROR(__xludf.DUMMYFUNCTION("""COMPUTED_VALUE"""),"SCOС-23T")</f>
        <v>SCOС-23T</v>
      </c>
      <c r="B168" s="87" t="str">
        <f ca="1">IFERROR(__xludf.DUMMYFUNCTION("""COMPUTED_VALUE"""),"Оптический прицел Vector Optics CONTINENTAL X6 1-6х24 TACTICAL, сетка VEC-T6M SFP, Ø 30 мм,арт.(SCOС-23T), азотонаполненный, c подсветкой 6 уровней яркости, до 7000Дж.")</f>
        <v>Оптический прицел Vector Optics CONTINENTAL X6 1-6х24 TACTICAL, сетка VEC-T6M SFP, Ø 30 мм,арт.(SCOС-23T), азотонаполненный, c подсветкой 6 уровней яркости, до 7000Дж.</v>
      </c>
      <c r="C168" s="16">
        <v>26500</v>
      </c>
      <c r="D168" s="15"/>
    </row>
    <row r="169" spans="1:4" ht="33" x14ac:dyDescent="0.2">
      <c r="A169" s="16" t="str">
        <f ca="1">IFERROR(__xludf.DUMMYFUNCTION("""COMPUTED_VALUE"""),"SCOC-48")</f>
        <v>SCOC-48</v>
      </c>
      <c r="B169" s="87" t="str">
        <f ca="1">IFERROR(__xludf.DUMMYFUNCTION("""COMPUTED_VALUE"""),"Оптический прицел Vector Optics CONTINENTAL X6 1-6X24 FIBER, сетка German 4, Ø 30 мм,  азотонаполненный, c подсветкой, ударопрочность до 750 g")</f>
        <v>Оптический прицел Vector Optics CONTINENTAL X6 1-6X24 FIBER, сетка German 4, Ø 30 мм,  азотонаполненный, c подсветкой, ударопрочность до 750 g</v>
      </c>
      <c r="C169" s="48">
        <v>30200</v>
      </c>
      <c r="D169" s="44"/>
    </row>
    <row r="170" spans="1:4" ht="49.5" x14ac:dyDescent="0.2">
      <c r="A170" s="16" t="str">
        <f ca="1">IFERROR(__xludf.DUMMYFUNCTION("""COMPUTED_VALUE"""),"SCFF-31")</f>
        <v>SCFF-31</v>
      </c>
      <c r="B170" s="87" t="str">
        <f ca="1">IFERROR(__xludf.DUMMYFUNCTION("""COMPUTED_VALUE"""),"Оптический прицел Vector Optics CONTINENTAL X6 1-6х28 TACTICAL FFP, сетка VCT-BNW, Ø 34 мм,арт.(SCFF-31), азотонаполненный, c подсветкой 6 уровней яркости, тактические барабаны, до 7000Дж.")</f>
        <v>Оптический прицел Vector Optics CONTINENTAL X6 1-6х28 TACTICAL FFP, сетка VCT-BNW, Ø 34 мм,арт.(SCFF-31), азотонаполненный, c подсветкой 6 уровней яркости, тактические барабаны, до 7000Дж.</v>
      </c>
      <c r="C170" s="48">
        <v>36000</v>
      </c>
      <c r="D170" s="15"/>
    </row>
    <row r="171" spans="1:4" ht="49.5" x14ac:dyDescent="0.2">
      <c r="A171" s="16" t="str">
        <f ca="1">IFERROR(__xludf.DUMMYFUNCTION("""COMPUTED_VALUE"""),"SCOС-34")</f>
        <v>SCOС-34</v>
      </c>
      <c r="B171" s="87" t="str">
        <f ca="1">IFERROR(__xludf.DUMMYFUNCTION("""COMPUTED_VALUE"""),"Оптический прицел Vector Optics CONTINENTAL X6 1-6х24 SFP TACTICAL FDE, сетка VEC-T6M , Ø 30 мм,арт.(SCOС-34), азотонаполненный, c подсветкой 6 уровней яркости, тактические барабаны, до 7000Дж.")</f>
        <v>Оптический прицел Vector Optics CONTINENTAL X6 1-6х24 SFP TACTICAL FDE, сетка VEC-T6M , Ø 30 мм,арт.(SCOС-34), азотонаполненный, c подсветкой 6 уровней яркости, тактические барабаны, до 7000Дж.</v>
      </c>
      <c r="C171" s="48">
        <v>36500</v>
      </c>
      <c r="D171" s="15"/>
    </row>
    <row r="172" spans="1:4" ht="49.5" x14ac:dyDescent="0.2">
      <c r="A172" s="16" t="str">
        <f ca="1">IFERROR(__xludf.DUMMYFUNCTION("""COMPUTED_VALUE"""),"SCOM-23")</f>
        <v>SCOM-23</v>
      </c>
      <c r="B172" s="87" t="str">
        <f ca="1">IFERROR(__xludf.DUMMYFUNCTION("""COMPUTED_VALUE"""),"Оптический прицел Vector Optics CONTINENTAL X6 1,5-9х42 HUNTING, сетка German 4 SFP, Ø 30 мм,арт.(SCOM-23), азотонаполненный, c подсветкой 6 уровней яркости, до 7000Дж.")</f>
        <v>Оптический прицел Vector Optics CONTINENTAL X6 1,5-9х42 HUNTING, сетка German 4 SFP, Ø 30 мм,арт.(SCOM-23), азотонаполненный, c подсветкой 6 уровней яркости, до 7000Дж.</v>
      </c>
      <c r="C172" s="21">
        <v>28500</v>
      </c>
      <c r="D172" s="15"/>
    </row>
    <row r="173" spans="1:4" ht="33" x14ac:dyDescent="0.2">
      <c r="A173" s="16" t="str">
        <f ca="1">IFERROR(__xludf.DUMMYFUNCTION("""COMPUTED_VALUE"""),"SCOM-15")</f>
        <v>SCOM-15</v>
      </c>
      <c r="B173" s="87" t="str">
        <f ca="1">IFERROR(__xludf.DUMMYFUNCTION("""COMPUTED_VALUE"""),"Оптический прицел Vector Optics CONTINENTAL X6 2-12х50 HUNTING SFP , Ø 30 мм,арт.(SCOM-15), азотонаполненный, до 7000Дж.")</f>
        <v>Оптический прицел Vector Optics CONTINENTAL X6 2-12х50 HUNTING SFP , Ø 30 мм,арт.(SCOM-15), азотонаполненный, до 7000Дж.</v>
      </c>
      <c r="C173" s="21">
        <v>36200</v>
      </c>
      <c r="D173" s="15"/>
    </row>
    <row r="174" spans="1:4" ht="33" x14ac:dyDescent="0.2">
      <c r="A174" s="16" t="str">
        <f ca="1">IFERROR(__xludf.DUMMYFUNCTION("""COMPUTED_VALUE"""),"SCOL-Х21")</f>
        <v>SCOL-Х21</v>
      </c>
      <c r="B174" s="87" t="str">
        <f ca="1">IFERROR(__xludf.DUMMYFUNCTION("""COMPUTED_VALUE"""),"Оптический прицел Vector Optics CONTINENTAL X6 3-18х50 HUNTING SFP CDM, Ø 30 мм,арт.(SCOL-Х21), азотонаполненный, до 7000Дж.")</f>
        <v>Оптический прицел Vector Optics CONTINENTAL X6 3-18х50 HUNTING SFP CDM, Ø 30 мм,арт.(SCOL-Х21), азотонаполненный, до 7000Дж.</v>
      </c>
      <c r="C174" s="16" t="s">
        <v>15</v>
      </c>
      <c r="D174" s="15"/>
    </row>
    <row r="175" spans="1:4" ht="33" x14ac:dyDescent="0.25">
      <c r="A175" s="16" t="str">
        <f ca="1">IFERROR(__xludf.DUMMYFUNCTION("""COMPUTED_VALUE"""),"SCOL-53")</f>
        <v>SCOL-53</v>
      </c>
      <c r="B175" s="87" t="str">
        <f ca="1">IFERROR(__xludf.DUMMYFUNCTION("""COMPUTED_VALUE"""),"Оптический прицел Vector Optics CONTINENTAL X6 3-18х50 TACTICAL SFP ARI, сетка VCT-10, Ø 30 мм,арт.(SCOL-53), азотонаполненный, до 7000Дж.")</f>
        <v>Оптический прицел Vector Optics CONTINENTAL X6 3-18х50 TACTICAL SFP ARI, сетка VCT-10, Ø 30 мм,арт.(SCOL-53), азотонаполненный, до 7000Дж.</v>
      </c>
      <c r="C175" s="48">
        <v>40100</v>
      </c>
      <c r="D175" s="18"/>
    </row>
    <row r="176" spans="1:4" ht="49.5" x14ac:dyDescent="0.2">
      <c r="A176" s="16" t="str">
        <f ca="1">IFERROR(__xludf.DUMMYFUNCTION("""COMPUTED_VALUE"""),"SCOL-43")</f>
        <v>SCOL-43</v>
      </c>
      <c r="B176" s="87" t="str">
        <f ca="1">IFERROR(__xludf.DUMMYFUNCTION("""COMPUTED_VALUE"""),"Оптический прицел Vector Optics CONTINENTAL X6 4-24х50 TACTICAL COYOTE FDE, сетка VCT-20A, Ø 30 мм,арт.(SCOL-43), азотонаполненный, c подсветкой 6 уровней яркости, до 7000Дж, серый")</f>
        <v>Оптический прицел Vector Optics CONTINENTAL X6 4-24х50 TACTICAL COYOTE FDE, сетка VCT-20A, Ø 30 мм,арт.(SCOL-43), азотонаполненный, c подсветкой 6 уровней яркости, до 7000Дж, серый</v>
      </c>
      <c r="C176" s="48">
        <v>46700</v>
      </c>
      <c r="D176" s="15"/>
    </row>
    <row r="177" spans="1:4" ht="49.5" x14ac:dyDescent="0.2">
      <c r="A177" s="16" t="str">
        <f ca="1">IFERROR(__xludf.DUMMYFUNCTION("""COMPUTED_VALUE"""),"SCOL-54")</f>
        <v>SCOL-54</v>
      </c>
      <c r="B177" s="87" t="str">
        <f ca="1">IFERROR(__xludf.DUMMYFUNCTION("""COMPUTED_VALUE"""),"Оптический прицел Vector Optics CONTINENTAL X6 4-24х50 TACTICAL SFP ARI,  Ø 30 мм,арт.(SCOL-54), азотонаполненный, c подсветкой 6 уровней яркости, до 7000Дж,")</f>
        <v>Оптический прицел Vector Optics CONTINENTAL X6 4-24х50 TACTICAL SFP ARI,  Ø 30 мм,арт.(SCOL-54), азотонаполненный, c подсветкой 6 уровней яркости, до 7000Дж,</v>
      </c>
      <c r="C177" s="21">
        <v>42500</v>
      </c>
      <c r="D177" s="15"/>
    </row>
    <row r="178" spans="1:4" ht="41.25" customHeight="1" x14ac:dyDescent="0.25">
      <c r="A178" s="16" t="str">
        <f ca="1">IFERROR(__xludf.DUMMYFUNCTION("""COMPUTED_VALUE"""),"SCOM-39")</f>
        <v>SCOM-39</v>
      </c>
      <c r="B178" s="87" t="str">
        <f ca="1">IFERROR(__xludf.DUMMYFUNCTION("""COMPUTED_VALUE"""),"Оптический прицел Vector Optics CONTINENTAL X8 2-16х44 SFP HUNTING ED, сетка German#4, Ø 30 мм,арт.(SCOM-39), азотонаполненный, c подсветкой 6 уровней яркости, до 7000Дж.")</f>
        <v>Оптический прицел Vector Optics CONTINENTAL X8 2-16х44 SFP HUNTING ED, сетка German#4, Ø 30 мм,арт.(SCOM-39), азотонаполненный, c подсветкой 6 уровней яркости, до 7000Дж.</v>
      </c>
      <c r="C178" s="23" t="s">
        <v>15</v>
      </c>
      <c r="D178" s="18"/>
    </row>
    <row r="179" spans="1:4" ht="49.5" x14ac:dyDescent="0.25">
      <c r="A179" s="16" t="str">
        <f ca="1">IFERROR(__xludf.DUMMYFUNCTION("""COMPUTED_VALUE"""),"SCOL-T51")</f>
        <v>SCOL-T51</v>
      </c>
      <c r="B179" s="87" t="str">
        <f ca="1">IFERROR(__xludf.DUMMYFUNCTION("""COMPUTED_VALUE"""),"Оптический прицел Vector Optics CONTINENTAL X8 4-32х56 SFP TACTICAL ED, сетка VTC-20A, Ø 30 мм,арт.(SCOL-T51), азотонаполненный, c подсветкой 6 уровней яркости, до 7000Дж.")</f>
        <v>Оптический прицел Vector Optics CONTINENTAL X8 4-32х56 SFP TACTICAL ED, сетка VTC-20A, Ø 30 мм,арт.(SCOL-T51), азотонаполненный, c подсветкой 6 уровней яркости, до 7000Дж.</v>
      </c>
      <c r="C179" s="21">
        <v>66600</v>
      </c>
      <c r="D179" s="18"/>
    </row>
    <row r="180" spans="1:4" ht="49.5" x14ac:dyDescent="0.2">
      <c r="A180" s="27" t="str">
        <f ca="1">IFERROR(__xludf.DUMMYFUNCTION("""COMPUTED_VALUE"""),"SCOL-X22")</f>
        <v>SCOL-X22</v>
      </c>
      <c r="B180" s="91" t="str">
        <f ca="1">IFERROR(__xludf.DUMMYFUNCTION("""COMPUTED_VALUE"""),"Оптический прицел Vector Optics CONTINENTAL X6 5-30х56 SFP HUNTING CDM, сетка VECON-CDM, Ø 30 мм,арт.(SCOL-X22), азотонаполненный, c подсветкой 6 уровней яркости, до 7000Дж.")</f>
        <v>Оптический прицел Vector Optics CONTINENTAL X6 5-30х56 SFP HUNTING CDM, сетка VECON-CDM, Ø 30 мм,арт.(SCOL-X22), азотонаполненный, c подсветкой 6 уровней яркости, до 7000Дж.</v>
      </c>
      <c r="C180" s="21">
        <v>41500</v>
      </c>
      <c r="D180" s="15"/>
    </row>
    <row r="181" spans="1:4" ht="49.5" x14ac:dyDescent="0.25">
      <c r="A181" s="16" t="str">
        <f ca="1">IFERROR(__xludf.DUMMYFUNCTION("""COMPUTED_VALUE"""),"SCFF-28")</f>
        <v>SCFF-28</v>
      </c>
      <c r="B181" s="87" t="str">
        <f ca="1">IFERROR(__xludf.DUMMYFUNCTION("""COMPUTED_VALUE"""),"Оптический прицел Vector Optics CONTINENTAL 3-18х50 FFP TACTICAL , сетка VCT-FFP, Ø 34 мм,арт.(SCFF-28), азотонаполненный, c подсветкой 6 уровней яркости, до 7000Дж.")</f>
        <v>Оптический прицел Vector Optics CONTINENTAL 3-18х50 FFP TACTICAL , сетка VCT-FFP, Ø 34 мм,арт.(SCFF-28), азотонаполненный, c подсветкой 6 уровней яркости, до 7000Дж.</v>
      </c>
      <c r="C181" s="21">
        <v>53000</v>
      </c>
      <c r="D181" s="18"/>
    </row>
    <row r="182" spans="1:4" ht="49.5" x14ac:dyDescent="0.25">
      <c r="A182" s="16" t="str">
        <f ca="1">IFERROR(__xludf.DUMMYFUNCTION("""COMPUTED_VALUE"""),"SCFF-30")</f>
        <v>SCFF-30</v>
      </c>
      <c r="B182" s="87" t="str">
        <f ca="1">IFERROR(__xludf.DUMMYFUNCTION("""COMPUTED_VALUE"""),"Оптический прицел Vector Optics CONTINENTAL X6 5-30X56 TACTICAL  FFP, сетка VCT-FFP, Ø 34 мм, азотонаполненный, c подсветкой 6 уровней яркости, ударопрочность до 1000 g,")</f>
        <v>Оптический прицел Vector Optics CONTINENTAL X6 5-30X56 TACTICAL  FFP, сетка VCT-FFP, Ø 34 мм, азотонаполненный, c подсветкой 6 уровней яркости, ударопрочность до 1000 g,</v>
      </c>
      <c r="C182" s="21">
        <v>76500</v>
      </c>
      <c r="D182" s="18"/>
    </row>
    <row r="183" spans="1:4" ht="33" x14ac:dyDescent="0.2">
      <c r="A183" s="27" t="str">
        <f ca="1">IFERROR(__xludf.DUMMYFUNCTION("""COMPUTED_VALUE"""),"SCOC-23")</f>
        <v>SCOC-23</v>
      </c>
      <c r="B183" s="91" t="str">
        <f ca="1">IFERROR(__xludf.DUMMYFUNCTION("""COMPUTED_VALUE"""),"Оптический прицел Vector Optics CONTINENTAL X6 1-6X24 HUNTING SFP, сетка German 4, Ø 30 мм,  азотонаполненный, c подсветкой, ударопрочность до 750 g")</f>
        <v>Оптический прицел Vector Optics CONTINENTAL X6 1-6X24 HUNTING SFP, сетка German 4, Ø 30 мм,  азотонаполненный, c подсветкой, ударопрочность до 750 g</v>
      </c>
      <c r="C183" s="23">
        <v>24700</v>
      </c>
      <c r="D183" s="15"/>
    </row>
    <row r="184" spans="1:4" ht="33" x14ac:dyDescent="0.25">
      <c r="A184" s="16" t="str">
        <f ca="1">IFERROR(__xludf.DUMMYFUNCTION("""COMPUTED_VALUE"""),"SCOC-T37")</f>
        <v>SCOC-T37</v>
      </c>
      <c r="B184" s="87" t="str">
        <f ca="1">IFERROR(__xludf.DUMMYFUNCTION("""COMPUTED_VALUE"""),"Оптический прицел Vector Optics CONTINENTAL X8 1-8X24 SFP ED TACTICAL, сетка VET-BTR, Ø 30 мм,  азотонаполненный, c подсветкой, ударопрочность до 750 g ")</f>
        <v xml:space="preserve">Оптический прицел Vector Optics CONTINENTAL X8 1-8X24 SFP ED TACTICAL, сетка VET-BTR, Ø 30 мм,  азотонаполненный, c подсветкой, ударопрочность до 750 g </v>
      </c>
      <c r="C184" s="21">
        <v>35400</v>
      </c>
      <c r="D184" s="18"/>
    </row>
    <row r="185" spans="1:4" ht="33" x14ac:dyDescent="0.2">
      <c r="A185" s="16" t="str">
        <f ca="1">IFERROR(__xludf.DUMMYFUNCTION("""COMPUTED_VALUE"""),"SCOM-T39")</f>
        <v>SCOM-T39</v>
      </c>
      <c r="B185" s="87" t="str">
        <f ca="1">IFERROR(__xludf.DUMMYFUNCTION("""COMPUTED_VALUE"""),"Оптический прицел Vector Optics CONTINENTAL X8 2-16X44 SFP ED TACTICAL, сетка  VTC-10A, Ø 30 мм,  азотонаполненный, c подсветкой, ударопрочность до 750 g")</f>
        <v>Оптический прицел Vector Optics CONTINENTAL X8 2-16X44 SFP ED TACTICAL, сетка  VTC-10A, Ø 30 мм,  азотонаполненный, c подсветкой, ударопрочность до 750 g</v>
      </c>
      <c r="C185" s="21">
        <v>47600</v>
      </c>
      <c r="D185" s="15"/>
    </row>
    <row r="186" spans="1:4" ht="49.5" x14ac:dyDescent="0.2">
      <c r="A186" s="53" t="str">
        <f ca="1">IFERROR(__xludf.DUMMYFUNCTION("""COMPUTED_VALUE"""),"SCOC-47")</f>
        <v>SCOC-47</v>
      </c>
      <c r="B186" s="87" t="str">
        <f ca="1">IFERROR(__xludf.DUMMYFUNCTION("""COMPUTED_VALUE"""),"Оптический прицел Vector Optics CONTINENTAL X10 1-10X24i ED FIBER , сетка MilDot , Ø 30 мм, азотонаполненный, c подсветкой 11 уровней яркости, ударопрочность до 1000 g,")</f>
        <v>Оптический прицел Vector Optics CONTINENTAL X10 1-10X24i ED FIBER , сетка MilDot , Ø 30 мм, азотонаполненный, c подсветкой 11 уровней яркости, ударопрочность до 1000 g,</v>
      </c>
      <c r="C186" s="21">
        <v>70500</v>
      </c>
      <c r="D186" s="15"/>
    </row>
    <row r="187" spans="1:4" ht="49.5" x14ac:dyDescent="0.2">
      <c r="A187" s="16" t="str">
        <f ca="1">IFERROR(__xludf.DUMMYFUNCTION("""COMPUTED_VALUE"""),"SCFF-47")</f>
        <v>SCFF-47</v>
      </c>
      <c r="B187" s="87" t="str">
        <f ca="1">IFERROR(__xludf.DUMMYFUNCTION("""COMPUTED_VALUE"""),"Оптический прицел Vector Optics CONTINENTAL X10 1-10X28 ED FFP, сетка VET-CTR BDC, Ø 34 мм, азотонаполненный, c подсветкой 11 уровней яркости, ударопрочность до 1000 g,")</f>
        <v>Оптический прицел Vector Optics CONTINENTAL X10 1-10X28 ED FFP, сетка VET-CTR BDC, Ø 34 мм, азотонаполненный, c подсветкой 11 уровней яркости, ударопрочность до 1000 g,</v>
      </c>
      <c r="C187" s="48">
        <v>100000</v>
      </c>
      <c r="D187" s="15"/>
    </row>
    <row r="188" spans="1:4" ht="49.5" x14ac:dyDescent="0.25">
      <c r="A188" s="16" t="str">
        <f ca="1">IFERROR(__xludf.DUMMYFUNCTION("""COMPUTED_VALUE"""),"SCFF-48")</f>
        <v>SCFF-48</v>
      </c>
      <c r="B188" s="87" t="str">
        <f ca="1">IFERROR(__xludf.DUMMYFUNCTION("""COMPUTED_VALUE"""),"Оптический прицел Vector Optics CONTINENTAL X10 1-10X28 ED FFP, сетка VET-RAR BDC, Ø 34 мм, азотонаполненный, c подсветкой 11 уровней яркости, ударопрочность до 1000 g,")</f>
        <v>Оптический прицел Vector Optics CONTINENTAL X10 1-10X28 ED FFP, сетка VET-RAR BDC, Ø 34 мм, азотонаполненный, c подсветкой 11 уровней яркости, ударопрочность до 1000 g,</v>
      </c>
      <c r="C188" s="21" t="s">
        <v>15</v>
      </c>
      <c r="D188" s="18"/>
    </row>
    <row r="189" spans="1:4" ht="49.5" x14ac:dyDescent="0.2">
      <c r="A189" s="16" t="str">
        <f ca="1">IFERROR(__xludf.DUMMYFUNCTION("""COMPUTED_VALUE"""),"SCFF-62")</f>
        <v>SCFF-62</v>
      </c>
      <c r="B189" s="87" t="str">
        <f ca="1">IFERROR(__xludf.DUMMYFUNCTION("""COMPUTED_VALUE"""),"Оптический прицел Vector Optics CONTINENTAL X10 1-10X28 ED FFP, сетка VET-RAR2 BDC, Ø 34 мм, азотонаполненный, c подсветкой 11 уровней яркости, ударопрочность до 1000 g,")</f>
        <v>Оптический прицел Vector Optics CONTINENTAL X10 1-10X28 ED FFP, сетка VET-RAR2 BDC, Ø 34 мм, азотонаполненный, c подсветкой 11 уровней яркости, ударопрочность до 1000 g,</v>
      </c>
      <c r="C189" s="21">
        <v>100000</v>
      </c>
      <c r="D189" s="15"/>
    </row>
    <row r="190" spans="1:4" ht="49.5" x14ac:dyDescent="0.2">
      <c r="A190" s="16" t="str">
        <f ca="1">IFERROR(__xludf.DUMMYFUNCTION("""COMPUTED_VALUE"""),"SCOL-TM52")</f>
        <v>SCOL-TM52</v>
      </c>
      <c r="B190" s="87" t="str">
        <f ca="1">IFERROR(__xludf.DUMMYFUNCTION("""COMPUTED_VALUE"""),"Оптический прицел Vector Optics CONTINENTAL X8 6-48X56 ED MIL TACTICAL, сетка VCO-5 MIL,Ø 30 ммазотонаполненный, c подсветкой 11 уровней яркости, ударопрочность до 1000 g,")</f>
        <v>Оптический прицел Vector Optics CONTINENTAL X8 6-48X56 ED MIL TACTICAL, сетка VCO-5 MIL,Ø 30 ммазотонаполненный, c подсветкой 11 уровней яркости, ударопрочность до 1000 g,</v>
      </c>
      <c r="C190" s="21">
        <v>89700</v>
      </c>
      <c r="D190" s="15"/>
    </row>
    <row r="191" spans="1:4" ht="16.5" x14ac:dyDescent="0.25">
      <c r="A191" s="112" t="str">
        <f ca="1">IFERROR(__xludf.DUMMYFUNCTION("""COMPUTED_VALUE"""),"ОПТИЧЕСКИЕ ПРИЦЕЛЫ VORTEX")</f>
        <v>ОПТИЧЕСКИЕ ПРИЦЕЛЫ VORTEX</v>
      </c>
      <c r="B191" s="113"/>
      <c r="C191" s="39"/>
      <c r="D191" s="18"/>
    </row>
    <row r="192" spans="1:4" ht="33" x14ac:dyDescent="0.2">
      <c r="A192" s="16" t="str">
        <f ca="1">IFERROR(__xludf.DUMMYFUNCTION("""COMPUTED_VALUE"""),"SE-1624-2")</f>
        <v>SE-1624-2</v>
      </c>
      <c r="B192" s="87" t="str">
        <f ca="1">IFERROR(__xludf.DUMMYFUNCTION("""COMPUTED_VALUE"""),"Оптический прицел Vortex Strike Eagle 1-6х24, сетка SFP AR-BDC3 MOA, Ø 30мм,арт.SE-1624-2")</f>
        <v>Оптический прицел Vortex Strike Eagle 1-6х24, сетка SFP AR-BDC3 MOA, Ø 30мм,арт.SE-1624-2</v>
      </c>
      <c r="C192" s="20">
        <v>60000</v>
      </c>
      <c r="D192" s="15"/>
    </row>
    <row r="193" spans="1:4" ht="33" x14ac:dyDescent="0.2">
      <c r="A193" s="16" t="str">
        <f ca="1">IFERROR(__xludf.DUMMYFUNCTION("""COMPUTED_VALUE"""),"DBK-01-BDC")</f>
        <v>DBK-01-BDC</v>
      </c>
      <c r="B193" s="87" t="str">
        <f ca="1">IFERROR(__xludf.DUMMYFUNCTION("""COMPUTED_VALUE"""),"Оптический прицел Vortex Diamondback 3-9х40, сетка SFP BDC MOA, Ø 25,4мм,арт.DBK-01-BDC")</f>
        <v>Оптический прицел Vortex Diamondback 3-9х40, сетка SFP BDC MOA, Ø 25,4мм,арт.DBK-01-BDC</v>
      </c>
      <c r="C193" s="21">
        <v>60000</v>
      </c>
      <c r="D193" s="15"/>
    </row>
    <row r="194" spans="1:4" ht="33" x14ac:dyDescent="0.2">
      <c r="A194" s="16" t="str">
        <f ca="1">IFERROR(__xludf.DUMMYFUNCTION("""COMPUTED_VALUE"""),"DBK-10027")</f>
        <v>DBK-10027</v>
      </c>
      <c r="B194" s="87" t="str">
        <f ca="1">IFERROR(__xludf.DUMMYFUNCTION("""COMPUTED_VALUE"""),"Оптический прицел Vortex Diamondback Tactical 4-16х44, сетка EBR-2C MRAD, Ø 30мм,арт.DBK-10027")</f>
        <v>Оптический прицел Vortex Diamondback Tactical 4-16х44, сетка EBR-2C MRAD, Ø 30мм,арт.DBK-10027</v>
      </c>
      <c r="C194" s="21">
        <v>82100</v>
      </c>
      <c r="D194" s="15"/>
    </row>
    <row r="195" spans="1:4" ht="18.75" x14ac:dyDescent="0.2">
      <c r="A195" s="112" t="str">
        <f ca="1">IFERROR(__xludf.DUMMYFUNCTION("""COMPUTED_VALUE"""),"ОПТИЧЕСКИЕ ПРИЦЕЛЫ SCHMIDT&amp;BENDER")</f>
        <v>ОПТИЧЕСКИЕ ПРИЦЕЛЫ SCHMIDT&amp;BENDER</v>
      </c>
      <c r="B195" s="113"/>
      <c r="C195" s="39"/>
      <c r="D195" s="15"/>
    </row>
    <row r="196" spans="1:4" ht="16.5" x14ac:dyDescent="0.25">
      <c r="A196" s="16" t="str">
        <f ca="1">IFERROR(__xludf.DUMMYFUNCTION("""COMPUTED_VALUE"""),"SB642")</f>
        <v>SB642</v>
      </c>
      <c r="B196" s="87" t="str">
        <f ca="1">IFERROR(__xludf.DUMMYFUNCTION("""COMPUTED_VALUE"""),"Оптический прицел Schmidt&amp;Bender 6x42 сетка LM 1"" А7, Ø трубки 25,4мм.")</f>
        <v>Оптический прицел Schmidt&amp;Bender 6x42 сетка LM 1" А7, Ø трубки 25,4мм.</v>
      </c>
      <c r="C196" s="20">
        <v>49000</v>
      </c>
      <c r="D196" s="18"/>
    </row>
    <row r="197" spans="1:4" ht="18.75" x14ac:dyDescent="0.2">
      <c r="A197" s="112" t="str">
        <f ca="1">IFERROR(__xludf.DUMMYFUNCTION("""COMPUTED_VALUE"""),"ОПТИЧЕСКИЕ ПРИЦЕЛЫ LEAPERS (США) для пневматического и огнестрельного оружия")</f>
        <v>ОПТИЧЕСКИЕ ПРИЦЕЛЫ LEAPERS (США) для пневматического и огнестрельного оружия</v>
      </c>
      <c r="B197" s="113"/>
      <c r="C197" s="25"/>
      <c r="D197" s="15"/>
    </row>
    <row r="198" spans="1:4" ht="33" x14ac:dyDescent="0.2">
      <c r="A198" s="16" t="str">
        <f ca="1">IFERROR(__xludf.DUMMYFUNCTION("""COMPUTED_VALUE"""),"U432FM")</f>
        <v>U432FM</v>
      </c>
      <c r="B198" s="87" t="str">
        <f ca="1">IFERROR(__xludf.DUMMYFUNCTION("""COMPUTED_VALUE"""),"Оптический прицел LEAPERS True Hunter Classic 4x32 AO-параллакс MilDot, б/подсв., Ø 25,4 мм")</f>
        <v>Оптический прицел LEAPERS True Hunter Classic 4x32 AO-параллакс MilDot, б/подсв., Ø 25,4 мм</v>
      </c>
      <c r="C198" s="20">
        <v>9700</v>
      </c>
      <c r="D198" s="15"/>
    </row>
    <row r="199" spans="1:4" ht="16.5" x14ac:dyDescent="0.25">
      <c r="A199" s="112" t="str">
        <f ca="1">IFERROR(__xludf.DUMMYFUNCTION("""COMPUTED_VALUE"""),"ОПТИЧЕСКИЕ ПРИЦЕЛЫ КОМЗ")</f>
        <v>ОПТИЧЕСКИЕ ПРИЦЕЛЫ КОМЗ</v>
      </c>
      <c r="B199" s="113"/>
      <c r="C199" s="25"/>
      <c r="D199" s="18"/>
    </row>
    <row r="200" spans="1:4" ht="16.5" x14ac:dyDescent="0.25">
      <c r="A200" s="16" t="str">
        <f ca="1">IFERROR(__xludf.DUMMYFUNCTION("""COMPUTED_VALUE"""),"PO41040")</f>
        <v>PO41040</v>
      </c>
      <c r="B200" s="87" t="str">
        <f ca="1">IFERROR(__xludf.DUMMYFUNCTION("""COMPUTED_VALUE"""),"Оптический прицел ПО 4-10х40 с креплением")</f>
        <v>Оптический прицел ПО 4-10х40 с креплением</v>
      </c>
      <c r="C200" s="49">
        <v>13500</v>
      </c>
      <c r="D200" s="18"/>
    </row>
    <row r="201" spans="1:4" ht="18.75" x14ac:dyDescent="0.2">
      <c r="A201" s="112" t="str">
        <f ca="1">IFERROR(__xludf.DUMMYFUNCTION("""COMPUTED_VALUE"""),"КОЛЛИМАТОРНЫЕ ПРИЦЕЛЫ")</f>
        <v>КОЛЛИМАТОРНЫЕ ПРИЦЕЛЫ</v>
      </c>
      <c r="B201" s="113"/>
      <c r="C201" s="25"/>
      <c r="D201" s="15"/>
    </row>
    <row r="202" spans="1:4" ht="18.75" x14ac:dyDescent="0.2">
      <c r="A202" s="112" t="str">
        <f ca="1">IFERROR(__xludf.DUMMYFUNCTION("""COMPUTED_VALUE"""),"Коллиматорные прицелы Зенит-БелОМО")</f>
        <v>Коллиматорные прицелы Зенит-БелОМО</v>
      </c>
      <c r="B202" s="113"/>
      <c r="C202" s="37"/>
      <c r="D202" s="54"/>
    </row>
    <row r="203" spans="1:4" ht="18.75" x14ac:dyDescent="0.2">
      <c r="A203" s="16" t="str">
        <f ca="1">IFERROR(__xludf.DUMMYFUNCTION("""COMPUTED_VALUE"""),"RSC")</f>
        <v>RSC</v>
      </c>
      <c r="B203" s="87" t="str">
        <f ca="1">IFERROR(__xludf.DUMMYFUNCTION("""COMPUTED_VALUE"""),"Коллиматорный прицел RS-C открытого типа")</f>
        <v>Коллиматорный прицел RS-C открытого типа</v>
      </c>
      <c r="C203" s="20">
        <v>13150</v>
      </c>
      <c r="D203" s="44"/>
    </row>
    <row r="204" spans="1:4" ht="18.75" x14ac:dyDescent="0.2">
      <c r="A204" s="112" t="str">
        <f ca="1">IFERROR(__xludf.DUMMYFUNCTION("""COMPUTED_VALUE"""),"Коллиматорные прицелы VECTOR OPTICS (KHP)")</f>
        <v>Коллиматорные прицелы VECTOR OPTICS (KHP)</v>
      </c>
      <c r="B204" s="113"/>
      <c r="C204" s="37"/>
      <c r="D204" s="15"/>
    </row>
    <row r="205" spans="1:4" ht="33" x14ac:dyDescent="0.2">
      <c r="A205" s="16" t="str">
        <f ca="1">IFERROR(__xludf.DUMMYFUNCTION("""COMPUTED_VALUE"""),"SCRD-19II")</f>
        <v>SCRD-19II</v>
      </c>
      <c r="B205" s="87" t="str">
        <f ca="1">IFERROR(__xludf.DUMMYFUNCTION("""COMPUTED_VALUE"""),"Коллиматорный прицел открытого типа FRENZY 1X17X24 RD, размер точки 3 МОА, цвет красный, 8 уровней яркости,влагозащита класса IPX6, арт.SCRD-19II")</f>
        <v>Коллиматорный прицел открытого типа FRENZY 1X17X24 RD, размер точки 3 МОА, цвет красный, 8 уровней яркости,влагозащита класса IPX6, арт.SCRD-19II</v>
      </c>
      <c r="C205" s="20">
        <v>7900</v>
      </c>
      <c r="D205" s="15"/>
    </row>
    <row r="206" spans="1:4" ht="33" x14ac:dyDescent="0.25">
      <c r="A206" s="16" t="str">
        <f ca="1">IFERROR(__xludf.DUMMYFUNCTION("""COMPUTED_VALUE"""),"SCRD-36")</f>
        <v>SCRD-36</v>
      </c>
      <c r="B206" s="87" t="str">
        <f ca="1">IFERROR(__xludf.DUMMYFUNCTION("""COMPUTED_VALUE"""),"Коллиматорный прицел открытого типа FRENZY-X 1X22X26 MOS RD, размер точки 3 МОА, цвет красный, 10 уровней яркости,влагозащита класса IPX6, арт.SCRD-36")</f>
        <v>Коллиматорный прицел открытого типа FRENZY-X 1X22X26 MOS RD, размер точки 3 МОА, цвет красный, 10 уровней яркости,влагозащита класса IPX6, арт.SCRD-36</v>
      </c>
      <c r="C206" s="21">
        <v>9200</v>
      </c>
      <c r="D206" s="18"/>
    </row>
    <row r="207" spans="1:4" ht="49.5" x14ac:dyDescent="0.2">
      <c r="A207" s="16" t="str">
        <f ca="1">IFERROR(__xludf.DUMMYFUNCTION("""COMPUTED_VALUE"""),"SCRD-37")</f>
        <v>SCRD-37</v>
      </c>
      <c r="B207" s="87" t="str">
        <f ca="1">IFERROR(__xludf.DUMMYFUNCTION("""COMPUTED_VALUE"""),"Коллиматорный прицел открытого типа FRENZY-X 1X22X26 AUT RD, размер точки 3 МОА, цвет красный, 10 уровней яркости,влагозащита класса IPX6, авто-кий датчик освещённости арт.SCRD-37")</f>
        <v>Коллиматорный прицел открытого типа FRENZY-X 1X22X26 AUT RD, размер точки 3 МОА, цвет красный, 10 уровней яркости,влагозащита класса IPX6, авто-кий датчик освещённости арт.SCRD-37</v>
      </c>
      <c r="C207" s="23">
        <v>9200</v>
      </c>
      <c r="D207" s="15"/>
    </row>
    <row r="208" spans="1:4" ht="49.5" x14ac:dyDescent="0.25">
      <c r="A208" s="16" t="str">
        <f ca="1">IFERROR(__xludf.DUMMYFUNCTION("""COMPUTED_VALUE"""),"SCRD-M43")</f>
        <v>SCRD-M43</v>
      </c>
      <c r="B208" s="87" t="str">
        <f ca="1">IFERROR(__xludf.DUMMYFUNCTION("""COMPUTED_VALUE"""),"Коллиматорный прицел открытого типа FRENZY-S 1X17X24 MOS MULTI RETICLE, размер точки (точка-3 МОА,круг-42МОА, круг с точкой 50МОА) цвет красный, 10 уровней яркости,влагозащита класса IP67, SCRD-М43")</f>
        <v>Коллиматорный прицел открытого типа FRENZY-S 1X17X24 MOS MULTI RETICLE, размер точки (точка-3 МОА,круг-42МОА, круг с точкой 50МОА) цвет красный, 10 уровней яркости,влагозащита класса IP67, SCRD-М43</v>
      </c>
      <c r="C208" s="21">
        <v>11600</v>
      </c>
      <c r="D208" s="18"/>
    </row>
    <row r="209" spans="1:4" ht="49.5" x14ac:dyDescent="0.2">
      <c r="A209" s="16" t="str">
        <f ca="1">IFERROR(__xludf.DUMMYFUNCTION("""COMPUTED_VALUE"""),"SCRD-35")</f>
        <v>SCRD-35</v>
      </c>
      <c r="B209" s="87" t="str">
        <f ca="1">IFERROR(__xludf.DUMMYFUNCTION("""COMPUTED_VALUE"""),"Коллиматорный прицел открытого типа Vector Optics FRENZY-X 1X20X28 RD, размер точки 3 МОА, цвет красный, 10 уровней яркости,влагозащита класса IPX6, арт.SCRD-35")</f>
        <v>Коллиматорный прицел открытого типа Vector Optics FRENZY-X 1X20X28 RD, размер точки 3 МОА, цвет красный, 10 уровней яркости,влагозащита класса IPX6, арт.SCRD-35</v>
      </c>
      <c r="C209" s="16" t="s">
        <v>15</v>
      </c>
      <c r="D209" s="15"/>
    </row>
    <row r="210" spans="1:4" ht="33" x14ac:dyDescent="0.2">
      <c r="A210" s="16" t="str">
        <f ca="1">IFERROR(__xludf.DUMMYFUNCTION("""COMPUTED_VALUE"""),"SCRD-SM44")</f>
        <v>SCRD-SM44</v>
      </c>
      <c r="B210" s="87" t="str">
        <f ca="1">IFERROR(__xludf.DUMMYFUNCTION("""COMPUTED_VALUE"""),"Коллиматорный прицел открытого типа FRENZY PLUS 1X22X32 SMR, три прицельные марки, размер точки 3 МОА, цвет красный, 10 уровней яркости")</f>
        <v>Коллиматорный прицел открытого типа FRENZY PLUS 1X22X32 SMR, три прицельные марки, размер точки 3 МОА, цвет красный, 10 уровней яркости</v>
      </c>
      <c r="C210" s="21">
        <v>18200</v>
      </c>
      <c r="D210" s="15"/>
    </row>
    <row r="211" spans="1:4" ht="33" x14ac:dyDescent="0.2">
      <c r="A211" s="16" t="str">
        <f ca="1">IFERROR(__xludf.DUMMYFUNCTION("""COMPUTED_VALUE"""),"SCRD-65")</f>
        <v>SCRD-65</v>
      </c>
      <c r="B211" s="87" t="str">
        <f ca="1">IFERROR(__xludf.DUMMYFUNCTION("""COMPUTED_VALUE"""),"Коллиматорный прицел открытого типа FRENZY PLUS 1X22X32 QD, размер точки 6 МОА, цвет красный, 10 уровней яркости")</f>
        <v>Коллиматорный прицел открытого типа FRENZY PLUS 1X22X32 QD, размер точки 6 МОА, цвет красный, 10 уровней яркости</v>
      </c>
      <c r="C211" s="21">
        <v>15100</v>
      </c>
      <c r="D211" s="15"/>
    </row>
    <row r="212" spans="1:4" ht="33" x14ac:dyDescent="0.2">
      <c r="A212" s="16" t="str">
        <f ca="1">IFERROR(__xludf.DUMMYFUNCTION("""COMPUTED_VALUE"""),"SCRD-67")</f>
        <v>SCRD-67</v>
      </c>
      <c r="B212" s="87" t="str">
        <f ca="1">IFERROR(__xludf.DUMMYFUNCTION("""COMPUTED_VALUE"""),"Коллиматорный прицел закрытого типа FRENZY PLUS 1X31X26,  размер точки 3 МОА, цвет красный, 11 уровней яркости")</f>
        <v>Коллиматорный прицел закрытого типа FRENZY PLUS 1X31X26,  размер точки 3 МОА, цвет красный, 11 уровней яркости</v>
      </c>
      <c r="C212" s="23">
        <v>19500</v>
      </c>
      <c r="D212" s="15"/>
    </row>
    <row r="213" spans="1:4" ht="33" x14ac:dyDescent="0.2">
      <c r="A213" s="16" t="str">
        <f ca="1">IFERROR(__xludf.DUMMYFUNCTION("""COMPUTED_VALUE"""),"SCRD-S67")</f>
        <v>SCRD-S67</v>
      </c>
      <c r="B213" s="87" t="str">
        <f ca="1">IFERROR(__xludf.DUMMYFUNCTION("""COMPUTED_VALUE"""),"Коллиматорный прицел закрытого типа FRENZY PLUS 1X31X26,  размер точки 3 МОА, цвет красный, подсветка 9 уровней плюс 2 NV, солнечная батарея")</f>
        <v>Коллиматорный прицел закрытого типа FRENZY PLUS 1X31X26,  размер точки 3 МОА, цвет красный, подсветка 9 уровней плюс 2 NV, солнечная батарея</v>
      </c>
      <c r="C213" s="23">
        <v>20400</v>
      </c>
      <c r="D213" s="15"/>
    </row>
    <row r="214" spans="1:4" ht="33" x14ac:dyDescent="0.2">
      <c r="A214" s="16" t="str">
        <f ca="1">IFERROR(__xludf.DUMMYFUNCTION("""COMPUTED_VALUE"""),"SCRD-M67")</f>
        <v>SCRD-M67</v>
      </c>
      <c r="B214" s="87" t="str">
        <f ca="1">IFERROR(__xludf.DUMMYFUNCTION("""COMPUTED_VALUE"""),"Коллиматорный прицел закрытого типа FRENZY PLUS 1X31X26, подсветка 9 уровней плюс 2 NV, три вида прицельной сетки красного цвета")</f>
        <v>Коллиматорный прицел закрытого типа FRENZY PLUS 1X31X26, подсветка 9 уровней плюс 2 NV, три вида прицельной сетки красного цвета</v>
      </c>
      <c r="C214" s="23">
        <v>23500</v>
      </c>
      <c r="D214" s="15"/>
    </row>
    <row r="215" spans="1:4" ht="33" x14ac:dyDescent="0.25">
      <c r="A215" s="16" t="str">
        <f ca="1">IFERROR(__xludf.DUMMYFUNCTION("""COMPUTED_VALUE"""),"SCRD-33")</f>
        <v>SCRD-33</v>
      </c>
      <c r="B215" s="87" t="str">
        <f ca="1">IFERROR(__xludf.DUMMYFUNCTION("""COMPUTED_VALUE"""),"Коллиматорный прицел закрытого типа CENTURION 1X20 RD, размер точки 3 МОА , цвет красный, 7 уровней яркости, водостойкий, арт.SCRD-33")</f>
        <v>Коллиматорный прицел закрытого типа CENTURION 1X20 RD, размер точки 3 МОА , цвет красный, 7 уровней яркости, водостойкий, арт.SCRD-33</v>
      </c>
      <c r="C215" s="21">
        <v>10500</v>
      </c>
      <c r="D215" s="18"/>
    </row>
    <row r="216" spans="1:4" ht="33" x14ac:dyDescent="0.25">
      <c r="A216" s="16" t="str">
        <f ca="1">IFERROR(__xludf.DUMMYFUNCTION("""COMPUTED_VALUE"""),"SCRD-34")</f>
        <v>SCRD-34</v>
      </c>
      <c r="B216" s="87" t="str">
        <f ca="1">IFERROR(__xludf.DUMMYFUNCTION("""COMPUTED_VALUE"""),"Коллиматорный прицел закрытого типа CENTURION 1X30 RD, размер точки 3 МОА , цвет красный, 7 уровней яркости, водостойкий, арт.SCRD-34")</f>
        <v>Коллиматорный прицел закрытого типа CENTURION 1X30 RD, размер точки 3 МОА , цвет красный, 7 уровней яркости, водостойкий, арт.SCRD-34</v>
      </c>
      <c r="C216" s="21">
        <v>9000</v>
      </c>
      <c r="D216" s="18"/>
    </row>
    <row r="217" spans="1:4" ht="49.5" x14ac:dyDescent="0.2">
      <c r="A217" s="16" t="str">
        <f ca="1">IFERROR(__xludf.DUMMYFUNCTION("""COMPUTED_VALUE"""),"SCRD-26II")</f>
        <v>SCRD-26II</v>
      </c>
      <c r="B217" s="87" t="str">
        <f ca="1">IFERROR(__xludf.DUMMYFUNCTION("""COMPUTED_VALUE"""),"Коллиматорный прицел закрытого типа NAUTILUS 1X30 QD RD, размер точки 3 МОА RD, цвет красный, 11 уровней яркости, влагозащита класса IPX4,арт.SCRD-26II")</f>
        <v>Коллиматорный прицел закрытого типа NAUTILUS 1X30 QD RD, размер точки 3 МОА RD, цвет красный, 11 уровней яркости, влагозащита класса IPX4,арт.SCRD-26II</v>
      </c>
      <c r="C217" s="21">
        <v>9000</v>
      </c>
      <c r="D217" s="44"/>
    </row>
    <row r="218" spans="1:4" ht="33" x14ac:dyDescent="0.2">
      <c r="A218" s="16" t="str">
        <f ca="1">IFERROR(__xludf.DUMMYFUNCTION("""COMPUTED_VALUE"""),"SCRD-D26")</f>
        <v>SCRD-D26</v>
      </c>
      <c r="B218" s="87" t="str">
        <f ca="1">IFERROR(__xludf.DUMMYFUNCTION("""COMPUTED_VALUE"""),"Коллиматорный прицел закрытого типа NAUTILUS 1X30 , размер точки 3 МОА RD, цвет красный, 11 уровней яркости, влагозащита класса IPX4,арт.SCRD-D26")</f>
        <v>Коллиматорный прицел закрытого типа NAUTILUS 1X30 , размер точки 3 МОА RD, цвет красный, 11 уровней яркости, влагозащита класса IPX4,арт.SCRD-D26</v>
      </c>
      <c r="C218" s="21">
        <v>10500</v>
      </c>
      <c r="D218" s="44"/>
    </row>
    <row r="219" spans="1:4" ht="33" x14ac:dyDescent="0.2">
      <c r="A219" s="16" t="str">
        <f ca="1">IFERROR(__xludf.DUMMYFUNCTION("""COMPUTED_VALUE"""),"SCRD-41")</f>
        <v>SCRD-41</v>
      </c>
      <c r="B219" s="87" t="str">
        <f ca="1">IFERROR(__xludf.DUMMYFUNCTION("""COMPUTED_VALUE"""),"Коллиматорный прицел закрытого типа MAVERICK III1X22 S-MIL, размер точки 3 МОА , цвет красный, 11 уровней яркости, влагозащита класса IPX4,арт.SCRD-41")</f>
        <v>Коллиматорный прицел закрытого типа MAVERICK III1X22 S-MIL, размер точки 3 МОА , цвет красный, 11 уровней яркости, влагозащита класса IPX4,арт.SCRD-41</v>
      </c>
      <c r="C219" s="21">
        <v>6800</v>
      </c>
      <c r="D219" s="15"/>
    </row>
    <row r="220" spans="1:4" ht="33" x14ac:dyDescent="0.2">
      <c r="A220" s="16" t="str">
        <f ca="1">IFERROR(__xludf.DUMMYFUNCTION("""COMPUTED_VALUE"""),"SCRD-38")</f>
        <v>SCRD-38</v>
      </c>
      <c r="B220" s="87" t="str">
        <f ca="1">IFERROR(__xludf.DUMMYFUNCTION("""COMPUTED_VALUE"""),"Коллиматорный прицел закрытого типа MAVERICK III 1X22 MIL, размер точки 3 МОА , цвет красный, 11 уровней яркости, влагозащита класса IPX4,арт.SCRD-38")</f>
        <v>Коллиматорный прицел закрытого типа MAVERICK III 1X22 MIL, размер точки 3 МОА , цвет красный, 11 уровней яркости, влагозащита класса IPX4,арт.SCRD-38</v>
      </c>
      <c r="C220" s="21">
        <v>7100</v>
      </c>
      <c r="D220" s="52"/>
    </row>
    <row r="221" spans="1:4" ht="33" x14ac:dyDescent="0.2">
      <c r="A221" s="16" t="str">
        <f ca="1">IFERROR(__xludf.DUMMYFUNCTION("""COMPUTED_VALUE"""),"SCRD-12II")</f>
        <v>SCRD-12II</v>
      </c>
      <c r="B221" s="87" t="str">
        <f ca="1">IFERROR(__xludf.DUMMYFUNCTION("""COMPUTED_VALUE"""),"Коллиматорный прицел закрытого типа MAVERICK II 1X22 GENII,размер точки 3 МОА , цвет красный, 11 уровней яркости")</f>
        <v>Коллиматорный прицел закрытого типа MAVERICK II 1X22 GENII,размер точки 3 МОА , цвет красный, 11 уровней яркости</v>
      </c>
      <c r="C221" s="16">
        <v>5300</v>
      </c>
      <c r="D221" s="15"/>
    </row>
    <row r="222" spans="1:4" ht="33" x14ac:dyDescent="0.2">
      <c r="A222" s="16" t="str">
        <f ca="1">IFERROR(__xludf.DUMMYFUNCTION("""COMPUTED_VALUE"""),"SCRD-74")</f>
        <v>SCRD-74</v>
      </c>
      <c r="B222" s="87" t="str">
        <f ca="1">IFERROR(__xludf.DUMMYFUNCTION("""COMPUTED_VALUE"""),"Коллиматорный прицел закрытого типа SCRAPPER 1X25 MICRO, размер точки 3 МОА RD, красного цвета, арт. SCRD-74")</f>
        <v>Коллиматорный прицел закрытого типа SCRAPPER 1X25 MICRO, размер точки 3 МОА RD, красного цвета, арт. SCRD-74</v>
      </c>
      <c r="C222" s="21">
        <v>17200</v>
      </c>
      <c r="D222" s="15"/>
    </row>
    <row r="223" spans="1:4" ht="33" x14ac:dyDescent="0.2">
      <c r="A223" s="16" t="str">
        <f ca="1">IFERROR(__xludf.DUMMYFUNCTION("""COMPUTED_VALUE"""),"SCRD-SM46")</f>
        <v>SCRD-SM46</v>
      </c>
      <c r="B223" s="87" t="str">
        <f ca="1">IFERROR(__xludf.DUMMYFUNCTION("""COMPUTED_VALUE"""),"Коллиматорный прицел закрытого типа SCRAPPER 1X25 SOL, размер точки 2 МОА RD, цвет красный, 10 уровней яркости, влагозащита класса IPX6, арт. SCRD-SM46")</f>
        <v>Коллиматорный прицел закрытого типа SCRAPPER 1X25 SOL, размер точки 2 МОА RD, цвет красный, 10 уровней яркости, влагозащита класса IPX6, арт. SCRD-SM46</v>
      </c>
      <c r="C223" s="23">
        <v>14200</v>
      </c>
      <c r="D223" s="15"/>
    </row>
    <row r="224" spans="1:4" ht="33" x14ac:dyDescent="0.25">
      <c r="A224" s="16" t="str">
        <f ca="1">IFERROR(__xludf.DUMMYFUNCTION("""COMPUTED_VALUE"""),"SCRD-46")</f>
        <v>SCRD-46</v>
      </c>
      <c r="B224" s="87" t="str">
        <f ca="1">IFERROR(__xludf.DUMMYFUNCTION("""COMPUTED_VALUE"""),"Коллиматорный прицел закрытого типа SCRAPPER 1X25, размер точки 2 МОА RD, цвет красный, круг с точкой, арт. SCRD-46")</f>
        <v>Коллиматорный прицел закрытого типа SCRAPPER 1X25, размер точки 2 МОА RD, цвет красный, круг с точкой, арт. SCRD-46</v>
      </c>
      <c r="C224" s="21">
        <v>13200</v>
      </c>
      <c r="D224" s="18"/>
    </row>
    <row r="225" spans="1:4" ht="33" x14ac:dyDescent="0.2">
      <c r="A225" s="55" t="str">
        <f ca="1">IFERROR(__xludf.DUMMYFUNCTION("""COMPUTED_VALUE"""),"SCRD-47")</f>
        <v>SCRD-47</v>
      </c>
      <c r="B225" s="92" t="str">
        <f ca="1">IFERROR(__xludf.DUMMYFUNCTION("""COMPUTED_VALUE"""),"Коллиматорный прицел закрытого типа SCRAPPER 1X29, размер точки 2 МОА RD, цвет красный, 10 уровней яркости, влагозащита класса IPX6, арт. SCRD-47")</f>
        <v>Коллиматорный прицел закрытого типа SCRAPPER 1X29, размер точки 2 МОА RD, цвет красный, 10 уровней яркости, влагозащита класса IPX6, арт. SCRD-47</v>
      </c>
      <c r="C225" s="21">
        <v>14100</v>
      </c>
      <c r="D225" s="15"/>
    </row>
    <row r="226" spans="1:4" ht="18.75" x14ac:dyDescent="0.2">
      <c r="A226" s="112" t="str">
        <f ca="1">IFERROR(__xludf.DUMMYFUNCTION("""COMPUTED_VALUE"""),"Призматические прицелы VECTOR OPTICS (KHP)")</f>
        <v>Призматические прицелы VECTOR OPTICS (KHP)</v>
      </c>
      <c r="B226" s="113"/>
      <c r="C226" s="25"/>
      <c r="D226" s="15"/>
    </row>
    <row r="227" spans="1:4" ht="18.75" x14ac:dyDescent="0.2">
      <c r="A227" s="16" t="str">
        <f ca="1">IFERROR(__xludf.DUMMYFUNCTION("""COMPUTED_VALUE"""),"SCPS-M03")</f>
        <v>SCPS-M03</v>
      </c>
      <c r="B227" s="87" t="str">
        <f ca="1">IFERROR(__xludf.DUMMYFUNCTION("""COMPUTED_VALUE"""),"Призматический прицел PARAGON 3x18 MICRO арт.SCPS-M03")</f>
        <v>Призматический прицел PARAGON 3x18 MICRO арт.SCPS-M03</v>
      </c>
      <c r="C227" s="20">
        <v>15200</v>
      </c>
      <c r="D227" s="15"/>
    </row>
    <row r="228" spans="1:4" ht="18.75" x14ac:dyDescent="0.2">
      <c r="A228" s="16" t="str">
        <f ca="1">IFERROR(__xludf.DUMMYFUNCTION("""COMPUTED_VALUE"""),"SCPS-M04")</f>
        <v>SCPS-M04</v>
      </c>
      <c r="B228" s="87" t="str">
        <f ca="1">IFERROR(__xludf.DUMMYFUNCTION("""COMPUTED_VALUE"""),"Призматический прицел PARAGON 4x24 MICRO арт.SCPS-M04")</f>
        <v>Призматический прицел PARAGON 4x24 MICRO арт.SCPS-M04</v>
      </c>
      <c r="C228" s="21">
        <v>24200</v>
      </c>
      <c r="D228" s="15"/>
    </row>
    <row r="229" spans="1:4" ht="16.5" x14ac:dyDescent="0.25">
      <c r="A229" s="112" t="str">
        <f ca="1">IFERROR(__xludf.DUMMYFUNCTION("""COMPUTED_VALUE""")," ТЕПЛОВИЗОРЫ")</f>
        <v xml:space="preserve"> ТЕПЛОВИЗОРЫ</v>
      </c>
      <c r="B229" s="113"/>
      <c r="C229" s="25"/>
      <c r="D229" s="18"/>
    </row>
    <row r="230" spans="1:4" ht="18.75" x14ac:dyDescent="0.2">
      <c r="A230" s="112" t="str">
        <f ca="1">IFERROR(__xludf.DUMMYFUNCTION("""COMPUTED_VALUE"""),"Тепловизионные монокуляры GUIDE")</f>
        <v>Тепловизионные монокуляры GUIDE</v>
      </c>
      <c r="B230" s="113"/>
      <c r="C230" s="25"/>
      <c r="D230" s="15"/>
    </row>
    <row r="231" spans="1:4" ht="18.75" x14ac:dyDescent="0.2">
      <c r="A231" s="112" t="str">
        <f ca="1">IFERROR(__xludf.DUMMYFUNCTION("""COMPUTED_VALUE"""),"Серия TJ")</f>
        <v>Серия TJ</v>
      </c>
      <c r="B231" s="113"/>
      <c r="C231" s="56"/>
      <c r="D231" s="15"/>
    </row>
    <row r="232" spans="1:4" ht="49.5" x14ac:dyDescent="0.25">
      <c r="A232" s="16" t="str">
        <f ca="1">IFERROR(__xludf.DUMMYFUNCTION("""COMPUTED_VALUE"""),"TJ430L")</f>
        <v>TJ430L</v>
      </c>
      <c r="B232" s="87" t="str">
        <f ca="1">IFERROR(__xludf.DUMMYFUNCTION("""COMPUTED_VALUE"""),"Тепловизионный монокуляр GUIDE TJ430L со встроенным лазерным дальномером до 1000м.,12мкм, объек-в 35мм , матрица 400х300 пикс., ув. 4,25-17x, частота 50Гц, Wi-Fi")</f>
        <v>Тепловизионный монокуляр GUIDE TJ430L со встроенным лазерным дальномером до 1000м.,12мкм, объек-в 35мм , матрица 400х300 пикс., ув. 4,25-17x, частота 50Гц, Wi-Fi</v>
      </c>
      <c r="C232" s="20">
        <v>130000</v>
      </c>
      <c r="D232" s="18"/>
    </row>
    <row r="233" spans="1:4" ht="49.5" x14ac:dyDescent="0.2">
      <c r="A233" s="16" t="str">
        <f ca="1">IFERROR(__xludf.DUMMYFUNCTION("""COMPUTED_VALUE"""),"TJ650L")</f>
        <v>TJ650L</v>
      </c>
      <c r="B233" s="87" t="str">
        <f ca="1">IFERROR(__xludf.DUMMYFUNCTION("""COMPUTED_VALUE"""),"Тепловизионный монокуляр GUIDE TJ650L со встроенным лазерным дальномером до 1000м.,12мкм, объек-в 50мм , матрица 640х512 пикс.,оптич-е ув. 3,79x, частота 50Гц,циф.-зум 1х,2x,4x,8x, Wi-Fi")</f>
        <v>Тепловизионный монокуляр GUIDE TJ650L со встроенным лазерным дальномером до 1000м.,12мкм, объек-в 50мм , матрица 640х512 пикс.,оптич-е ув. 3,79x, частота 50Гц,циф.-зум 1х,2x,4x,8x, Wi-Fi</v>
      </c>
      <c r="C233" s="21">
        <v>163000</v>
      </c>
      <c r="D233" s="15"/>
    </row>
    <row r="234" spans="1:4" ht="33" x14ac:dyDescent="0.25">
      <c r="A234" s="16" t="str">
        <f ca="1">IFERROR(__xludf.DUMMYFUNCTION("""COMPUTED_VALUE"""),"TJ650LP")</f>
        <v>TJ650LP</v>
      </c>
      <c r="B234" s="87" t="str">
        <f ca="1">IFERROR(__xludf.DUMMYFUNCTION("""COMPUTED_VALUE"""),"Тепловизионный монокуляр GUIDE TJ650LP со встроенным лазерным дальномером до 1500м.,12мкм, объек-в 50мм , матрица 640х512 пикс., ув. 4,73-37")</f>
        <v>Тепловизионный монокуляр GUIDE TJ650LP со встроенным лазерным дальномером до 1500м.,12мкм, объек-в 50мм , матрица 640х512 пикс., ув. 4,73-37</v>
      </c>
      <c r="C234" s="21">
        <v>250000</v>
      </c>
      <c r="D234" s="18"/>
    </row>
    <row r="235" spans="1:4" ht="49.5" x14ac:dyDescent="0.2">
      <c r="A235" s="16" t="str">
        <f ca="1">IFERROR(__xludf.DUMMYFUNCTION("""COMPUTED_VALUE"""),"TJ660LZ")</f>
        <v>TJ660LZ</v>
      </c>
      <c r="B235" s="87" t="str">
        <f ca="1">IFERROR(__xludf.DUMMYFUNCTION("""COMPUTED_VALUE"""),"Тепловизионный монокуляр GUIDE TJ660LZ со встроенным лазерным дальномером до 1000м.,12мкм, двухфокусный объек-в DFOV 20мм/60мм, матрица 640х512 пикс., ув. 1,5-12х/4,5-36x,циф.-зум, частота 50Гц, Wi-Fi")</f>
        <v>Тепловизионный монокуляр GUIDE TJ660LZ со встроенным лазерным дальномером до 1000м.,12мкм, двухфокусный объек-в DFOV 20мм/60мм, матрица 640х512 пикс., ув. 1,5-12х/4,5-36x,циф.-зум, частота 50Гц, Wi-Fi</v>
      </c>
      <c r="C235" s="21">
        <v>250000</v>
      </c>
      <c r="D235" s="15"/>
    </row>
    <row r="236" spans="1:4" ht="18.75" x14ac:dyDescent="0.2">
      <c r="A236" s="112" t="str">
        <f ca="1">IFERROR(__xludf.DUMMYFUNCTION("""COMPUTED_VALUE"""),"Серия TD Gen2")</f>
        <v>Серия TD Gen2</v>
      </c>
      <c r="B236" s="113"/>
      <c r="C236" s="56"/>
      <c r="D236" s="52"/>
    </row>
    <row r="237" spans="1:4" ht="33" x14ac:dyDescent="0.2">
      <c r="A237" s="22" t="str">
        <f ca="1">IFERROR(__xludf.DUMMYFUNCTION("""COMPUTED_VALUE"""),"TD211")</f>
        <v>TD211</v>
      </c>
      <c r="B237" s="87" t="str">
        <f ca="1">IFERROR(__xludf.DUMMYFUNCTION("""COMPUTED_VALUE"""),"Теп-ный монокуляр GUIDE TD211 12мкм, объек-в 10мм , матрица 256х192 пикс.,оптич-е ув. 0,7x-1,4x, частота 50Гц,циф.-зум 1х,2x, Wi-Fi.")</f>
        <v>Теп-ный монокуляр GUIDE TD211 12мкм, объек-в 10мм , матрица 256х192 пикс.,оптич-е ув. 0,7x-1,4x, частота 50Гц,циф.-зум 1х,2x, Wi-Fi.</v>
      </c>
      <c r="C237" s="20" t="s">
        <v>15</v>
      </c>
      <c r="D237" s="15"/>
    </row>
    <row r="238" spans="1:4" ht="33" x14ac:dyDescent="0.25">
      <c r="A238" s="16" t="str">
        <f ca="1">IFERROR(__xludf.DUMMYFUNCTION("""COMPUTED_VALUE"""),"TD421 ")</f>
        <v xml:space="preserve">TD421 </v>
      </c>
      <c r="B238" s="87" t="str">
        <f ca="1">IFERROR(__xludf.DUMMYFUNCTION("""COMPUTED_VALUE"""),"Теп-ный монокуляр GUIDE TD421 12мкм, объек-в 25мм , матрица 384х288 пикс.,оптич-е ув. 1,9x-7,6x, частота 50Гц,циф.-зум 1х,2x,4x, Wi-Fi.")</f>
        <v>Теп-ный монокуляр GUIDE TD421 12мкм, объек-в 25мм , матрица 384х288 пикс.,оптич-е ув. 1,9x-7,6x, частота 50Гц,циф.-зум 1х,2x,4x, Wi-Fi.</v>
      </c>
      <c r="C238" s="21" t="s">
        <v>15</v>
      </c>
      <c r="D238" s="18"/>
    </row>
    <row r="239" spans="1:4" ht="33" x14ac:dyDescent="0.25">
      <c r="A239" s="16" t="str">
        <f ca="1">IFERROR(__xludf.DUMMYFUNCTION("""COMPUTED_VALUE"""),"TD431")</f>
        <v>TD431</v>
      </c>
      <c r="B239" s="87" t="str">
        <f ca="1">IFERROR(__xludf.DUMMYFUNCTION("""COMPUTED_VALUE"""),"Теп-ный монокуляр GUIDE TD431 12мкм, объек-в 35мм , матрица 384х288 пикс.,оптич-е ув. 2,6x-10,4x, частота 50Гц,циф.-зум 1х,2x,4x, Wi-Fi.")</f>
        <v>Теп-ный монокуляр GUIDE TD431 12мкм, объек-в 35мм , матрица 384х288 пикс.,оптич-е ув. 2,6x-10,4x, частота 50Гц,циф.-зум 1х,2x,4x, Wi-Fi.</v>
      </c>
      <c r="C239" s="21" t="s">
        <v>15</v>
      </c>
      <c r="D239" s="18"/>
    </row>
    <row r="240" spans="1:4" ht="18.75" x14ac:dyDescent="0.2">
      <c r="A240" s="112" t="str">
        <f ca="1">IFERROR(__xludf.DUMMYFUNCTION("""COMPUTED_VALUE"""),"Серия TD LRF")</f>
        <v>Серия TD LRF</v>
      </c>
      <c r="B240" s="113"/>
      <c r="C240" s="25"/>
      <c r="D240" s="15"/>
    </row>
    <row r="241" spans="1:4" ht="49.5" x14ac:dyDescent="0.2">
      <c r="A241" s="16" t="str">
        <f ca="1">IFERROR(__xludf.DUMMYFUNCTION("""COMPUTED_VALUE"""),"TD431LRF")</f>
        <v>TD431LRF</v>
      </c>
      <c r="B241" s="87" t="str">
        <f ca="1">IFERROR(__xludf.DUMMYFUNCTION("""COMPUTED_VALUE"""),"Теп-ный монокуляр GUIDE TD431 LRF со встроенным лазерным дальномером до 600м.,12мкм, объек-в 35мм , матрица 384х288 пикс.,оптич-е ув. 2,6x, частота 50Гц,циф.-зум 1х,2x,4x, Wi-Fi.")</f>
        <v>Теп-ный монокуляр GUIDE TD431 LRF со встроенным лазерным дальномером до 600м.,12мкм, объек-в 35мм , матрица 384х288 пикс.,оптич-е ув. 2,6x, частота 50Гц,циф.-зум 1х,2x,4x, Wi-Fi.</v>
      </c>
      <c r="C241" s="20" t="s">
        <v>15</v>
      </c>
      <c r="D241" s="15"/>
    </row>
    <row r="242" spans="1:4" ht="49.5" x14ac:dyDescent="0.2">
      <c r="A242" s="16" t="str">
        <f ca="1">IFERROR(__xludf.DUMMYFUNCTION("""COMPUTED_VALUE"""),"TD631LRF ")</f>
        <v xml:space="preserve">TD631LRF </v>
      </c>
      <c r="B242" s="87" t="str">
        <f ca="1">IFERROR(__xludf.DUMMYFUNCTION("""COMPUTED_VALUE"""),"Теп-ный монокуляр GUIDE TD631 LRF со встроенным лазерным дальномером до 600м.,12мкм, объек-в 35мм , матрица 640х480 пикс.,оптич-е ув. 1,7x, частота 50Гц,циф.-зум 1х,2x,4x8x, Wi-Fi.")</f>
        <v>Теп-ный монокуляр GUIDE TD631 LRF со встроенным лазерным дальномером до 600м.,12мкм, объек-в 35мм , матрица 640х480 пикс.,оптич-е ув. 1,7x, частота 50Гц,циф.-зум 1х,2x,4x8x, Wi-Fi.</v>
      </c>
      <c r="C242" s="21">
        <v>130000</v>
      </c>
      <c r="D242" s="15"/>
    </row>
    <row r="243" spans="1:4" ht="16.5" x14ac:dyDescent="0.25">
      <c r="A243" s="112" t="str">
        <f ca="1">IFERROR(__xludf.DUMMYFUNCTION("""COMPUTED_VALUE"""),"Серия TK Gen2")</f>
        <v>Серия TK Gen2</v>
      </c>
      <c r="B243" s="113"/>
      <c r="C243" s="50"/>
      <c r="D243" s="18"/>
    </row>
    <row r="244" spans="1:4" ht="33" x14ac:dyDescent="0.2">
      <c r="A244" s="16" t="str">
        <f ca="1">IFERROR(__xludf.DUMMYFUNCTION("""COMPUTED_VALUE"""),"TK431")</f>
        <v>TK431</v>
      </c>
      <c r="B244" s="87" t="str">
        <f ca="1">IFERROR(__xludf.DUMMYFUNCTION("""COMPUTED_VALUE"""),"Теп-ный монокуляр GUIDE TK431 17мкм, объек-в 35мм, матрица 400х300,50Гц, опт.-зум2,3-9,2, циф.-зум 1х-4x, Wi-Fi.")</f>
        <v>Теп-ный монокуляр GUIDE TK431 17мкм, объек-в 35мм, матрица 400х300,50Гц, опт.-зум2,3-9,2, циф.-зум 1х-4x, Wi-Fi.</v>
      </c>
      <c r="C244" s="57">
        <v>105000</v>
      </c>
      <c r="D244" s="15"/>
    </row>
    <row r="245" spans="1:4" ht="16.5" x14ac:dyDescent="0.25">
      <c r="A245" s="112" t="str">
        <f ca="1">IFERROR(__xludf.DUMMYFUNCTION("""COMPUTED_VALUE"""),"Серия TE ")</f>
        <v xml:space="preserve">Серия TE </v>
      </c>
      <c r="B245" s="113"/>
      <c r="C245" s="25"/>
      <c r="D245" s="18"/>
    </row>
    <row r="246" spans="1:4" ht="33" x14ac:dyDescent="0.2">
      <c r="A246" s="16" t="str">
        <f ca="1">IFERROR(__xludf.DUMMYFUNCTION("""COMPUTED_VALUE"""),"TE211")</f>
        <v>TE211</v>
      </c>
      <c r="B246" s="87" t="str">
        <f ca="1">IFERROR(__xludf.DUMMYFUNCTION("""COMPUTED_VALUE"""),"Теп-ный монокуляр GUIDE TE211 ,12мкм, матрица 256х192 пикс.,оптич-е ув. 1,2x, частота 50Гц,циф.-зум 1х-4x,Wi-Fi.")</f>
        <v>Теп-ный монокуляр GUIDE TE211 ,12мкм, матрица 256х192 пикс.,оптич-е ув. 1,2x, частота 50Гц,циф.-зум 1х-4x,Wi-Fi.</v>
      </c>
      <c r="C246" s="20">
        <v>45000</v>
      </c>
      <c r="D246" s="15"/>
    </row>
    <row r="247" spans="1:4" ht="18.75" x14ac:dyDescent="0.2">
      <c r="A247" s="112" t="str">
        <f ca="1">IFERROR(__xludf.DUMMYFUNCTION("""COMPUTED_VALUE"""),"Тепловизионные монокуляры Sytong")</f>
        <v>Тепловизионные монокуляры Sytong</v>
      </c>
      <c r="B247" s="113"/>
      <c r="C247" s="25"/>
      <c r="D247" s="15"/>
    </row>
    <row r="248" spans="1:4" ht="49.5" x14ac:dyDescent="0.25">
      <c r="A248" s="16" t="str">
        <f ca="1">IFERROR(__xludf.DUMMYFUNCTION("""COMPUTED_VALUE""")," XS03-35LRF")</f>
        <v xml:space="preserve"> XS03-35LRF</v>
      </c>
      <c r="B248" s="87" t="str">
        <f ca="1">IFERROR(__xludf.DUMMYFUNCTION("""COMPUTED_VALUE"""),"Тепловизионный монокуляр Sytong XS03-35LRF со встроенным лазерным дальномером до 1200м.,12мкм, объек-в 35мм , матрица 384х288 пикс.,оптич-е ув. 2,8x, частота 50Гц,циф.-зум 1х,2x,4x,8x Wi-Fi.")</f>
        <v>Тепловизионный монокуляр Sytong XS03-35LRF со встроенным лазерным дальномером до 1200м.,12мкм, объек-в 35мм , матрица 384х288 пикс.,оптич-е ув. 2,8x, частота 50Гц,циф.-зум 1х,2x,4x,8x Wi-Fi.</v>
      </c>
      <c r="C248" s="20" t="s">
        <v>15</v>
      </c>
      <c r="D248" s="18"/>
    </row>
    <row r="249" spans="1:4" ht="49.5" x14ac:dyDescent="0.2">
      <c r="A249" s="16" t="str">
        <f ca="1">IFERROR(__xludf.DUMMYFUNCTION("""COMPUTED_VALUE"""),"XS06-35LRF")</f>
        <v>XS06-35LRF</v>
      </c>
      <c r="B249" s="87" t="str">
        <f ca="1">IFERROR(__xludf.DUMMYFUNCTION("""COMPUTED_VALUE"""),"Тепловизионный монокуляр Sytong XS06-35LRF со встроенным лазерным дальномером до 1200м.,12мкм, объек-в 35мм , матрица 640х512 пикс.,оптич-е ув. 1,7x, частота 50Гц, циф.-зум 1х,2x,4x,8x Wi-Fi.")</f>
        <v>Тепловизионный монокуляр Sytong XS06-35LRF со встроенным лазерным дальномером до 1200м.,12мкм, объек-в 35мм , матрица 640х512 пикс.,оптич-е ув. 1,7x, частота 50Гц, циф.-зум 1х,2x,4x,8x Wi-Fi.</v>
      </c>
      <c r="C249" s="21">
        <v>234600</v>
      </c>
      <c r="D249" s="15"/>
    </row>
    <row r="250" spans="1:4" ht="16.5" x14ac:dyDescent="0.25">
      <c r="A250" s="112" t="str">
        <f ca="1">IFERROR(__xludf.DUMMYFUNCTION("""COMPUTED_VALUE"""),"Тепловизионные прицелы GUIDE")</f>
        <v>Тепловизионные прицелы GUIDE</v>
      </c>
      <c r="B250" s="113"/>
      <c r="C250" s="56"/>
      <c r="D250" s="18"/>
    </row>
    <row r="251" spans="1:4" ht="18.75" x14ac:dyDescent="0.2">
      <c r="A251" s="56"/>
      <c r="B251" s="93" t="str">
        <f ca="1">IFERROR(__xludf.DUMMYFUNCTION("""COMPUTED_VALUE"""),"Серия TS Gen II")</f>
        <v>Серия TS Gen II</v>
      </c>
      <c r="C251" s="56"/>
      <c r="D251" s="15"/>
    </row>
    <row r="252" spans="1:4" ht="33" x14ac:dyDescent="0.2">
      <c r="A252" s="16" t="str">
        <f ca="1">IFERROR(__xludf.DUMMYFUNCTION("""COMPUTED_VALUE"""),"TS432L")</f>
        <v>TS432L</v>
      </c>
      <c r="B252" s="87" t="str">
        <f ca="1">IFERROR(__xludf.DUMMYFUNCTION("""COMPUTED_VALUE"""),"Тепловизионный прицел GUIDE TS432L 12мкм , матрица 384х288 пикс., увеличение 2,6х-10,4х, частота 50Гц, Wi-Fi,объек-в 35мм .")</f>
        <v>Тепловизионный прицел GUIDE TS432L 12мкм , матрица 384х288 пикс., увеличение 2,6х-10,4х, частота 50Гц, Wi-Fi,объек-в 35мм .</v>
      </c>
      <c r="C252" s="23">
        <v>177800</v>
      </c>
      <c r="D252" s="15"/>
    </row>
    <row r="253" spans="1:4" ht="33" x14ac:dyDescent="0.2">
      <c r="A253" s="16" t="str">
        <f ca="1">IFERROR(__xludf.DUMMYFUNCTION("""COMPUTED_VALUE"""),"TS632L")</f>
        <v>TS632L</v>
      </c>
      <c r="B253" s="87" t="str">
        <f ca="1">IFERROR(__xludf.DUMMYFUNCTION("""COMPUTED_VALUE"""),"Тепловизионный прицел GUIDE TS632L 12мкм , матрица 640х512 пикс., увеличение 1,7х-13,6х, частота 50Гц, Wi-Fi,объек-в 35мм .")</f>
        <v>Тепловизионный прицел GUIDE TS632L 12мкм , матрица 640х512 пикс., увеличение 1,7х-13,6х, частота 50Гц, Wi-Fi,объек-в 35мм .</v>
      </c>
      <c r="C253" s="58">
        <v>213500</v>
      </c>
      <c r="D253" s="15"/>
    </row>
    <row r="254" spans="1:4" ht="18.75" x14ac:dyDescent="0.2">
      <c r="A254" s="112" t="str">
        <f ca="1">IFERROR(__xludf.DUMMYFUNCTION("""COMPUTED_VALUE"""),"Серия TR")</f>
        <v>Серия TR</v>
      </c>
      <c r="B254" s="113"/>
      <c r="C254" s="50"/>
      <c r="D254" s="15"/>
    </row>
    <row r="255" spans="1:4" ht="33" x14ac:dyDescent="0.2">
      <c r="A255" s="22" t="str">
        <f ca="1">IFERROR(__xludf.DUMMYFUNCTION("""COMPUTED_VALUE"""),"TR420")</f>
        <v>TR420</v>
      </c>
      <c r="B255" s="87" t="str">
        <f ca="1">IFERROR(__xludf.DUMMYFUNCTION("""COMPUTED_VALUE"""),"Тепловизионный прицел GUIDE TR420 12мкм , матрица 384х288 пикс.,опт.ув. 2,4x-9,6x частота 50Гц,циф.-зум 1х,2x,4x, Wi-Fi, объек.-25мм., Удар.ст. 5600Дж.")</f>
        <v>Тепловизионный прицел GUIDE TR420 12мкм , матрица 384х288 пикс.,опт.ув. 2,4x-9,6x частота 50Гц,циф.-зум 1х,2x,4x, Wi-Fi, объек.-25мм., Удар.ст. 5600Дж.</v>
      </c>
      <c r="C255" s="16">
        <v>135000</v>
      </c>
      <c r="D255" s="15"/>
    </row>
    <row r="256" spans="1:4" ht="33" x14ac:dyDescent="0.2">
      <c r="A256" s="16" t="str">
        <f ca="1">IFERROR(__xludf.DUMMYFUNCTION("""COMPUTED_VALUE"""),"TR430")</f>
        <v>TR430</v>
      </c>
      <c r="B256" s="87" t="str">
        <f ca="1">IFERROR(__xludf.DUMMYFUNCTION("""COMPUTED_VALUE"""),"Тепловизионный прицел GUIDE TR430 12мкм , матрица 384х288 пикс.,опт.ув. 3,3-13,2 частота 50Гц,циф.-зум 1х,2x,4x, Wi-Fi, объек.-35мм., Удар.ст. 5600Дж.")</f>
        <v>Тепловизионный прицел GUIDE TR430 12мкм , матрица 384х288 пикс.,опт.ув. 3,3-13,2 частота 50Гц,циф.-зум 1х,2x,4x, Wi-Fi, объек.-35мм., Удар.ст. 5600Дж.</v>
      </c>
      <c r="C256" s="58">
        <v>140000</v>
      </c>
      <c r="D256" s="15"/>
    </row>
    <row r="257" spans="1:4" ht="33" x14ac:dyDescent="0.2">
      <c r="A257" s="16" t="str">
        <f ca="1">IFERROR(__xludf.DUMMYFUNCTION("""COMPUTED_VALUE"""),"TR450")</f>
        <v>TR450</v>
      </c>
      <c r="B257" s="87" t="str">
        <f ca="1">IFERROR(__xludf.DUMMYFUNCTION("""COMPUTED_VALUE"""),"Тепловизионный прицел GUIDE TR450 12мкм , матрица 384х288 пикс.,опт.ув. 4,7-18,8 частота 50Гц,циф.-зум 1х,2x,4x, Wi-Fi, объек.-50мм., Удар.ст. 5600Дж.")</f>
        <v>Тепловизионный прицел GUIDE TR450 12мкм , матрица 384х288 пикс.,опт.ув. 4,7-18,8 частота 50Гц,циф.-зум 1х,2x,4x, Wi-Fi, объек.-50мм., Удар.ст. 5600Дж.</v>
      </c>
      <c r="C257" s="38">
        <v>145000</v>
      </c>
      <c r="D257" s="15"/>
    </row>
    <row r="258" spans="1:4" ht="33" x14ac:dyDescent="0.2">
      <c r="A258" s="16" t="str">
        <f ca="1">IFERROR(__xludf.DUMMYFUNCTION("""COMPUTED_VALUE"""),"TR630")</f>
        <v>TR630</v>
      </c>
      <c r="B258" s="87" t="str">
        <f ca="1">IFERROR(__xludf.DUMMYFUNCTION("""COMPUTED_VALUE"""),"Тепловизионный прицел GUIDE TR630 12мкм , матрица 640х480 пикс.,опт.ув. 2,0-16 частота 50Гц,циф.-зум 1х-8x, Wi-Fi, объек.-35мм., Удар.ст. 5600Дж.")</f>
        <v>Тепловизионный прицел GUIDE TR630 12мкм , матрица 640х480 пикс.,опт.ув. 2,0-16 частота 50Гц,циф.-зум 1х-8x, Wi-Fi, объек.-35мм., Удар.ст. 5600Дж.</v>
      </c>
      <c r="C258" s="16" t="s">
        <v>15</v>
      </c>
      <c r="D258" s="15"/>
    </row>
    <row r="259" spans="1:4" ht="33" x14ac:dyDescent="0.2">
      <c r="A259" s="16" t="str">
        <f ca="1">IFERROR(__xludf.DUMMYFUNCTION("""COMPUTED_VALUE"""),"TR650")</f>
        <v>TR650</v>
      </c>
      <c r="B259" s="87" t="str">
        <f ca="1">IFERROR(__xludf.DUMMYFUNCTION("""COMPUTED_VALUE"""),"Тепловизионный прицел GUIDE TR650 12мкм , матрица 640х480 пикс.,опт.ув. 2,8-22,4 частота 50Гц,циф.-зум 1х-8x, Wi-Fi, объек.-50мм., Удар.ст. 5600Дж.")</f>
        <v>Тепловизионный прицел GUIDE TR650 12мкм , матрица 640х480 пикс.,опт.ув. 2,8-22,4 частота 50Гц,циф.-зум 1х-8x, Wi-Fi, объек.-50мм., Удар.ст. 5600Дж.</v>
      </c>
      <c r="C259" s="16">
        <v>170000</v>
      </c>
      <c r="D259" s="15"/>
    </row>
    <row r="260" spans="1:4" ht="33" x14ac:dyDescent="0.2">
      <c r="A260" s="16" t="str">
        <f ca="1">IFERROR(__xludf.DUMMYFUNCTION("""COMPUTED_VALUE"""),"LDS600LRF")</f>
        <v>LDS600LRF</v>
      </c>
      <c r="B260" s="87" t="str">
        <f ca="1">IFERROR(__xludf.DUMMYFUNCTION("""COMPUTED_VALUE"""),"Лазерный дальномер S600LRF для прицелов GUIDE, тепловизионная серия TR и цифровая серия DR, дистанция измерения до 600 метров")</f>
        <v>Лазерный дальномер S600LRF для прицелов GUIDE, тепловизионная серия TR и цифровая серия DR, дистанция измерения до 600 метров</v>
      </c>
      <c r="C260" s="38">
        <v>45000</v>
      </c>
      <c r="D260" s="15"/>
    </row>
    <row r="261" spans="1:4" ht="18.75" x14ac:dyDescent="0.2">
      <c r="A261" s="112" t="str">
        <f ca="1">IFERROR(__xludf.DUMMYFUNCTION("""COMPUTED_VALUE"""),"Серия TU")</f>
        <v>Серия TU</v>
      </c>
      <c r="B261" s="113"/>
      <c r="C261" s="50"/>
      <c r="D261" s="15"/>
    </row>
    <row r="262" spans="1:4" ht="33" x14ac:dyDescent="0.2">
      <c r="A262" s="16" t="str">
        <f ca="1">IFERROR(__xludf.DUMMYFUNCTION("""COMPUTED_VALUE"""),"TU420")</f>
        <v>TU420</v>
      </c>
      <c r="B262" s="87" t="str">
        <f ca="1">IFERROR(__xludf.DUMMYFUNCTION("""COMPUTED_VALUE"""),"Тепловизионный прицел GUIDE TU420 17мкм , матрица 400х300 пикс.,опт.-зум 1,6-6,4x, частота 50Гц,циф.-зум 1-4x, Wi-Fi,объек-в 25мм .")</f>
        <v>Тепловизионный прицел GUIDE TU420 17мкм , матрица 400х300 пикс.,опт.-зум 1,6-6,4x, частота 50Гц,циф.-зум 1-4x, Wi-Fi,объек-в 25мм .</v>
      </c>
      <c r="C262" s="20" t="s">
        <v>15</v>
      </c>
      <c r="D262" s="15"/>
    </row>
    <row r="263" spans="1:4" ht="33" x14ac:dyDescent="0.2">
      <c r="A263" s="16" t="str">
        <f ca="1">IFERROR(__xludf.DUMMYFUNCTION("""COMPUTED_VALUE"""),"TU450")</f>
        <v>TU450</v>
      </c>
      <c r="B263" s="87" t="str">
        <f ca="1">IFERROR(__xludf.DUMMYFUNCTION("""COMPUTED_VALUE"""),"Тепловизионный прицел GUIDE TU450 17мкм , матрица 400х300 пикс.,опт.-зум 2,3-9,2x, частота 50Гц,циф.-зум 1-4x, Wi-Fi, объек-в-50мм.")</f>
        <v>Тепловизионный прицел GUIDE TU450 17мкм , матрица 400х300 пикс.,опт.-зум 2,3-9,2x, частота 50Гц,циф.-зум 1-4x, Wi-Fi, объек-в-50мм.</v>
      </c>
      <c r="C263" s="21" t="s">
        <v>15</v>
      </c>
      <c r="D263" s="15"/>
    </row>
    <row r="264" spans="1:4" ht="33" x14ac:dyDescent="0.2">
      <c r="A264" s="16" t="str">
        <f ca="1">IFERROR(__xludf.DUMMYFUNCTION("""COMPUTED_VALUE"""),"TU650")</f>
        <v>TU650</v>
      </c>
      <c r="B264" s="87" t="str">
        <f ca="1">IFERROR(__xludf.DUMMYFUNCTION("""COMPUTED_VALUE"""),"Тепловизионный прицел GUIDE TU650 12мкм , матрица 640х480 пикс.,опт.-зум 2,0-16x, частота 50Гц,циф.-зум 1-8x, Wi-Fi, объек-в-50мм.")</f>
        <v>Тепловизионный прицел GUIDE TU650 12мкм , матрица 640х480 пикс.,опт.-зум 2,0-16x, частота 50Гц,циф.-зум 1-8x, Wi-Fi, объек-в-50мм.</v>
      </c>
      <c r="C264" s="21" t="s">
        <v>15</v>
      </c>
      <c r="D264" s="15"/>
    </row>
    <row r="265" spans="1:4" ht="18.75" x14ac:dyDescent="0.2">
      <c r="A265" s="112" t="str">
        <f ca="1">IFERROR(__xludf.DUMMYFUNCTION("""COMPUTED_VALUE"""),"Серия TU LRF")</f>
        <v>Серия TU LRF</v>
      </c>
      <c r="B265" s="113"/>
      <c r="C265" s="39"/>
      <c r="D265" s="15"/>
    </row>
    <row r="266" spans="1:4" ht="49.5" x14ac:dyDescent="0.2">
      <c r="A266" s="16" t="str">
        <f ca="1">IFERROR(__xludf.DUMMYFUNCTION("""COMPUTED_VALUE"""),"TU451LRF")</f>
        <v>TU451LRF</v>
      </c>
      <c r="B266" s="87" t="str">
        <f ca="1">IFERROR(__xludf.DUMMYFUNCTION("""COMPUTED_VALUE"""),"Тепловизионный прицел GUIDE TU451 LRF со встроенным лазерным дальномером до 1000м.12мкм , матрица 400х300 пикс.,опт.увел. 3,78 ,циф.-зум 1-4x, Wi-Fi, объек-в-50мм.")</f>
        <v>Тепловизионный прицел GUIDE TU451 LRF со встроенным лазерным дальномером до 1000м.12мкм , матрица 400х300 пикс.,опт.увел. 3,78 ,циф.-зум 1-4x, Wi-Fi, объек-в-50мм.</v>
      </c>
      <c r="C266" s="21" t="s">
        <v>15</v>
      </c>
      <c r="D266" s="15"/>
    </row>
    <row r="267" spans="1:4" ht="18.75" x14ac:dyDescent="0.2">
      <c r="A267" s="112" t="str">
        <f ca="1">IFERROR(__xludf.DUMMYFUNCTION("""COMPUTED_VALUE"""),"Тепловизионные БИНОКЛИ GUIDE")</f>
        <v>Тепловизионные БИНОКЛИ GUIDE</v>
      </c>
      <c r="B267" s="113"/>
      <c r="C267" s="39"/>
      <c r="D267" s="15"/>
    </row>
    <row r="268" spans="1:4" ht="18.75" x14ac:dyDescent="0.2">
      <c r="A268" s="112" t="str">
        <f ca="1">IFERROR(__xludf.DUMMYFUNCTION("""COMPUTED_VALUE"""),"Серия TN")</f>
        <v>Серия TN</v>
      </c>
      <c r="B268" s="113"/>
      <c r="C268" s="50"/>
      <c r="D268" s="15"/>
    </row>
    <row r="269" spans="1:4" ht="49.5" x14ac:dyDescent="0.2">
      <c r="A269" s="16" t="str">
        <f ca="1">IFERROR(__xludf.DUMMYFUNCTION("""COMPUTED_VALUE"""),"TN450 ")</f>
        <v xml:space="preserve">TN450 </v>
      </c>
      <c r="B269" s="87" t="str">
        <f ca="1">IFERROR(__xludf.DUMMYFUNCTION("""COMPUTED_VALUE"""),"Тепловизионный бинокль GUIDE TN450 со встроенным лазерным дальномером до 1000м, 17мкм , матрица 400х300 пикс.,увеличение 3,2-12,8x, частота 50Гц,циф.зум 1-4х,объек.50 мм.")</f>
        <v>Тепловизионный бинокль GUIDE TN450 со встроенным лазерным дальномером до 1000м, 17мкм , матрица 400х300 пикс.,увеличение 3,2-12,8x, частота 50Гц,циф.зум 1-4х,объек.50 мм.</v>
      </c>
      <c r="C269" s="20">
        <v>250000</v>
      </c>
      <c r="D269" s="15"/>
    </row>
    <row r="270" spans="1:4" ht="49.5" x14ac:dyDescent="0.2">
      <c r="A270" s="16" t="str">
        <f ca="1">IFERROR(__xludf.DUMMYFUNCTION("""COMPUTED_VALUE"""),"TN650 ")</f>
        <v xml:space="preserve">TN650 </v>
      </c>
      <c r="B270" s="94" t="str">
        <f ca="1">IFERROR(__xludf.DUMMYFUNCTION("""COMPUTED_VALUE"""),"Тепловизионный бинокль GUIDE TN650 со встроенным лазерным дальномером до 1500 м, 12мкм , матрица 640х480 пикс.,увеличение 2,8-22,4x, частота 50Гц,циф.зум 1-8х,объек.50 мм.")</f>
        <v>Тепловизионный бинокль GUIDE TN650 со встроенным лазерным дальномером до 1500 м, 12мкм , матрица 640х480 пикс.,увеличение 2,8-22,4x, частота 50Гц,циф.зум 1-8х,объек.50 мм.</v>
      </c>
      <c r="C270" s="16" t="s">
        <v>15</v>
      </c>
      <c r="D270" s="15"/>
    </row>
    <row r="271" spans="1:4" ht="18.75" x14ac:dyDescent="0.2">
      <c r="A271" s="56"/>
      <c r="B271" s="93" t="str">
        <f ca="1">IFERROR(__xludf.DUMMYFUNCTION("""COMPUTED_VALUE"""),"Тепловизионные прицелы SYTONG")</f>
        <v>Тепловизионные прицелы SYTONG</v>
      </c>
      <c r="C271" s="39"/>
      <c r="D271" s="15"/>
    </row>
    <row r="272" spans="1:4" ht="16.5" x14ac:dyDescent="0.25">
      <c r="A272" s="56"/>
      <c r="B272" s="93" t="str">
        <f ca="1">IFERROR(__xludf.DUMMYFUNCTION("""COMPUTED_VALUE"""),"Серия АМ")</f>
        <v>Серия АМ</v>
      </c>
      <c r="C272" s="39"/>
      <c r="D272" s="18"/>
    </row>
    <row r="273" spans="1:4" ht="33" outlineLevel="1" x14ac:dyDescent="0.2">
      <c r="A273" s="16" t="str">
        <f ca="1">IFERROR(__xludf.DUMMYFUNCTION("""COMPUTED_VALUE"""),"AM03-35LRF")</f>
        <v>AM03-35LRF</v>
      </c>
      <c r="B273" s="87" t="str">
        <f ca="1">IFERROR(__xludf.DUMMYFUNCTION("""COMPUTED_VALUE"""),"Тепловизионный прицел Sytong AM03-35LRF увеличение x2.8/5.6/11.2/22.4, матрица 384x288, лазерный дальномер 800м, обнаруж.1750м")</f>
        <v>Тепловизионный прицел Sytong AM03-35LRF увеличение x2.8/5.6/11.2/22.4, матрица 384x288, лазерный дальномер 800м, обнаруж.1750м</v>
      </c>
      <c r="C273" s="20">
        <v>157899</v>
      </c>
      <c r="D273" s="52"/>
    </row>
    <row r="274" spans="1:4" ht="33" outlineLevel="1" x14ac:dyDescent="0.2">
      <c r="A274" s="16" t="str">
        <f ca="1">IFERROR(__xludf.DUMMYFUNCTION("""COMPUTED_VALUE"""),"AM03-50LRF")</f>
        <v>AM03-50LRF</v>
      </c>
      <c r="B274" s="87" t="str">
        <f ca="1">IFERROR(__xludf.DUMMYFUNCTION("""COMPUTED_VALUE"""),"Тепловизионный прицел Sytong AM03-50LRF увеличение x4/8/16/32, матрица 384x288 лазерный дальномер 800м, обнаруж.2500м")</f>
        <v>Тепловизионный прицел Sytong AM03-50LRF увеличение x4/8/16/32, матрица 384x288 лазерный дальномер 800м, обнаруж.2500м</v>
      </c>
      <c r="C274" s="21" t="s">
        <v>15</v>
      </c>
      <c r="D274" s="15"/>
    </row>
    <row r="275" spans="1:4" ht="33" outlineLevel="1" x14ac:dyDescent="0.2">
      <c r="A275" s="16" t="str">
        <f ca="1">IFERROR(__xludf.DUMMYFUNCTION("""COMPUTED_VALUE"""),"AM06-50LRF")</f>
        <v>AM06-50LRF</v>
      </c>
      <c r="B275" s="87" t="str">
        <f ca="1">IFERROR(__xludf.DUMMYFUNCTION("""COMPUTED_VALUE"""),"Тепловизионный прицел Sytong AM06-50LRF увеличение x2,5/5/10/20, матрица 640x512, лазерный дальномер 800м, обнаруж.2500м")</f>
        <v>Тепловизионный прицел Sytong AM06-50LRF увеличение x2,5/5/10/20, матрица 640x512, лазерный дальномер 800м, обнаруж.2500м</v>
      </c>
      <c r="C275" s="21">
        <v>309120</v>
      </c>
      <c r="D275" s="15"/>
    </row>
    <row r="276" spans="1:4" ht="18.75" outlineLevel="1" x14ac:dyDescent="0.2">
      <c r="A276" s="112" t="str">
        <f ca="1">IFERROR(__xludf.DUMMYFUNCTION("""COMPUTED_VALUE"""),"Серия ХМ")</f>
        <v>Серия ХМ</v>
      </c>
      <c r="B276" s="113"/>
      <c r="C276" s="39"/>
      <c r="D276" s="15"/>
    </row>
    <row r="277" spans="1:4" ht="33" outlineLevel="1" x14ac:dyDescent="0.2">
      <c r="A277" s="16" t="str">
        <f ca="1">IFERROR(__xludf.DUMMYFUNCTION("""COMPUTED_VALUE"""),"XM03-35LRF")</f>
        <v>XM03-35LRF</v>
      </c>
      <c r="B277" s="87" t="str">
        <f ca="1">IFERROR(__xludf.DUMMYFUNCTION("""COMPUTED_VALUE"""),"Тепловизионный прицел Sytong XM03-35LRF увеличение x2.8/5.6/11.2/22.4, матрица 384x288 лазерный дальномер 1200м, обнаруж.1750м")</f>
        <v>Тепловизионный прицел Sytong XM03-35LRF увеличение x2.8/5.6/11.2/22.4, матрица 384x288 лазерный дальномер 1200м, обнаруж.1750м</v>
      </c>
      <c r="C277" s="20">
        <v>193000</v>
      </c>
      <c r="D277" s="15"/>
    </row>
    <row r="278" spans="1:4" ht="33" outlineLevel="1" x14ac:dyDescent="0.2">
      <c r="A278" s="16" t="str">
        <f ca="1">IFERROR(__xludf.DUMMYFUNCTION("""COMPUTED_VALUE"""),"XM03-50LRF")</f>
        <v>XM03-50LRF</v>
      </c>
      <c r="B278" s="87" t="str">
        <f ca="1">IFERROR(__xludf.DUMMYFUNCTION("""COMPUTED_VALUE"""),"Тепловизионный прицел Sytong XM03-50LRF увеличение x4/8/16/32, матрица 384x288 лазерный дальномер 1200м, обнаруж. 2500м")</f>
        <v>Тепловизионный прицел Sytong XM03-50LRF увеличение x4/8/16/32, матрица 384x288 лазерный дальномер 1200м, обнаруж. 2500м</v>
      </c>
      <c r="C278" s="21">
        <v>213500</v>
      </c>
      <c r="D278" s="52"/>
    </row>
    <row r="279" spans="1:4" ht="33" outlineLevel="1" x14ac:dyDescent="0.2">
      <c r="A279" s="16" t="str">
        <f ca="1">IFERROR(__xludf.DUMMYFUNCTION("""COMPUTED_VALUE"""),"XM06-50LRF")</f>
        <v>XM06-50LRF</v>
      </c>
      <c r="B279" s="94" t="str">
        <f ca="1">IFERROR(__xludf.DUMMYFUNCTION("""COMPUTED_VALUE"""),"Тепловизионный прицел Sytong XM06-50LRF увеличение х2,5/5/10/20,матрица 640x512, лазерный дальномер 1200м, обнаруж.2500м")</f>
        <v>Тепловизионный прицел Sytong XM06-50LRF увеличение х2,5/5/10/20,матрица 640x512, лазерный дальномер 1200м, обнаруж.2500м</v>
      </c>
      <c r="C279" s="21">
        <v>309120</v>
      </c>
      <c r="D279" s="15"/>
    </row>
    <row r="280" spans="1:4" ht="18.75" outlineLevel="1" x14ac:dyDescent="0.2">
      <c r="A280" s="12"/>
      <c r="B280" s="95" t="str">
        <f ca="1">IFERROR(__xludf.DUMMYFUNCTION("""COMPUTED_VALUE"""),"Серия NM")</f>
        <v>Серия NM</v>
      </c>
      <c r="C280" s="39"/>
      <c r="D280" s="15"/>
    </row>
    <row r="281" spans="1:4" ht="18.75" outlineLevel="1" x14ac:dyDescent="0.2">
      <c r="A281" s="112" t="str">
        <f ca="1">IFERROR(__xludf.DUMMYFUNCTION("""COMPUTED_VALUE"""),"Тепловизионные прицелы FAHRENTEC")</f>
        <v>Тепловизионные прицелы FAHRENTEC</v>
      </c>
      <c r="B281" s="113"/>
      <c r="C281" s="39"/>
      <c r="D281" s="15"/>
    </row>
    <row r="282" spans="1:4" ht="66" outlineLevel="1" x14ac:dyDescent="0.2">
      <c r="A282" s="16" t="str">
        <f ca="1">IFERROR(__xludf.DUMMYFUNCTION("""COMPUTED_VALUE"""),"FMR335L-SE ")</f>
        <v xml:space="preserve">FMR335L-SE </v>
      </c>
      <c r="B282" s="87" t="str">
        <f ca="1">IFERROR(__xludf.DUMMYFUNCTION("""COMPUTED_VALUE"""),"Тепловизионный прицел FAHRENTEC FMR335L-SE (Special  Edition) со встроенным лазерным дальномером до 1000м., матрица 384х288 пикс., планка weaver для коллиматора, прицельная марка-круг с точкой, базовое опт. увеличение 3,3, цифровой зум х1/x2/x4, частота 5"&amp;"0Гц,обнаружение до 2000 м., Wi-Fi, объ-35мм.")</f>
        <v>Тепловизионный прицел FAHRENTEC FMR335L-SE (Special  Edition) со встроенным лазерным дальномером до 1000м., матрица 384х288 пикс., планка weaver для коллиматора, прицельная марка-круг с точкой, базовое опт. увеличение 3,3, цифровой зум х1/x2/x4, частота 50Гц,обнаружение до 2000 м., Wi-Fi, объ-35мм.</v>
      </c>
      <c r="C282" s="21">
        <v>216000</v>
      </c>
      <c r="D282" s="15"/>
    </row>
    <row r="283" spans="1:4" ht="16.5" x14ac:dyDescent="0.25">
      <c r="A283" s="112" t="str">
        <f ca="1">IFERROR(__xludf.DUMMYFUNCTION("""COMPUTED_VALUE"""),"Тепловизионные прицелы NNPO c LRF")</f>
        <v>Тепловизионные прицелы NNPO c LRF</v>
      </c>
      <c r="B283" s="113"/>
      <c r="C283" s="39"/>
      <c r="D283" s="18"/>
    </row>
    <row r="284" spans="1:4" ht="49.5" outlineLevel="1" x14ac:dyDescent="0.2">
      <c r="A284" s="16" t="str">
        <f ca="1">IFERROR(__xludf.DUMMYFUNCTION("""COMPUTED_VALUE"""),"NTR22335LRF")</f>
        <v>NTR22335LRF</v>
      </c>
      <c r="B284" s="87" t="str">
        <f ca="1">IFERROR(__xludf.DUMMYFUNCTION("""COMPUTED_VALUE"""),"Тепловизионный прицел NNPO TR22-335 LRF со встроенным лазерным дальномером до 800м., матрица 384х288 пикс,циф.зум 2х,4x8x, частота 50Гц,обнаружение до 1500 м., без Wi-Fi, объ-35мм.")</f>
        <v>Тепловизионный прицел NNPO TR22-335 LRF со встроенным лазерным дальномером до 800м., матрица 384х288 пикс,циф.зум 2х,4x8x, частота 50Гц,обнаружение до 1500 м., без Wi-Fi, объ-35мм.</v>
      </c>
      <c r="C284" s="20">
        <v>198000</v>
      </c>
      <c r="D284" s="52"/>
    </row>
    <row r="285" spans="1:4" ht="49.5" outlineLevel="1" x14ac:dyDescent="0.2">
      <c r="A285" s="16" t="str">
        <f ca="1">IFERROR(__xludf.DUMMYFUNCTION("""COMPUTED_VALUE"""),"NTR22345LRF")</f>
        <v>NTR22345LRF</v>
      </c>
      <c r="B285" s="87" t="str">
        <f ca="1">IFERROR(__xludf.DUMMYFUNCTION("""COMPUTED_VALUE"""),"Тепловизионный прицел NNPO TR22-345 LRF со встроенным лазерным дальномером до 800м., матрица 384х288 пикс,циф.зум 2х,4x8x, частота 50Гц,обнаружение до 1500 м., без Wi-Fi, объ-45мм.")</f>
        <v>Тепловизионный прицел NNPO TR22-345 LRF со встроенным лазерным дальномером до 800м., матрица 384х288 пикс,циф.зум 2х,4x8x, частота 50Гц,обнаружение до 1500 м., без Wi-Fi, объ-45мм.</v>
      </c>
      <c r="C285" s="21">
        <v>216000</v>
      </c>
      <c r="D285" s="15"/>
    </row>
    <row r="286" spans="1:4" ht="49.5" outlineLevel="1" x14ac:dyDescent="0.2">
      <c r="A286" s="16" t="str">
        <f ca="1">IFERROR(__xludf.DUMMYFUNCTION("""COMPUTED_VALUE"""),"NTR22S335LRF
")</f>
        <v xml:space="preserve">NTR22S335LRF
</v>
      </c>
      <c r="B286" s="87" t="str">
        <f ca="1">IFERROR(__xludf.DUMMYFUNCTION("""COMPUTED_VALUE"""),"Тепловизионный прицел NNPO TR22S-335 LRF со встроенным лазерным дальномером до 800м., матрица 384х288 пикс,циф.зум 2х,4x8x, частота 50Гц,обнаружение до 1500 м., Wi-Fi, объ-35мм.")</f>
        <v>Тепловизионный прицел NNPO TR22S-335 LRF со встроенным лазерным дальномером до 800м., матрица 384х288 пикс,циф.зум 2х,4x8x, частота 50Гц,обнаружение до 1500 м., Wi-Fi, объ-35мм.</v>
      </c>
      <c r="C286" s="21">
        <v>204000</v>
      </c>
      <c r="D286" s="15"/>
    </row>
    <row r="287" spans="1:4" ht="49.5" outlineLevel="1" x14ac:dyDescent="0.2">
      <c r="A287" s="16" t="str">
        <f ca="1">IFERROR(__xludf.DUMMYFUNCTION("""COMPUTED_VALUE"""),"NTR22S345LRF")</f>
        <v>NTR22S345LRF</v>
      </c>
      <c r="B287" s="87" t="str">
        <f ca="1">IFERROR(__xludf.DUMMYFUNCTION("""COMPUTED_VALUE"""),"Тепловизионный прицел NNPO TR22S-345 LRF со встроенным лазерным дальномером до 800м., матрица 384х288 пикс,циф.зум 2х,4x8x, частота 50Гц,обнаружение до 1500 м., Wi-Fi, объ-45мм.")</f>
        <v>Тепловизионный прицел NNPO TR22S-345 LRF со встроенным лазерным дальномером до 800м., матрица 384х288 пикс,циф.зум 2х,4x8x, частота 50Гц,обнаружение до 1500 м., Wi-Fi, объ-45мм.</v>
      </c>
      <c r="C287" s="21">
        <v>222000</v>
      </c>
      <c r="D287" s="15"/>
    </row>
    <row r="288" spans="1:4" ht="18.75" outlineLevel="1" x14ac:dyDescent="0.2">
      <c r="A288" s="112" t="str">
        <f ca="1">IFERROR(__xludf.DUMMYFUNCTION("""COMPUTED_VALUE"""),"Тепловизионные прицелы HIKMICRO")</f>
        <v>Тепловизионные прицелы HIKMICRO</v>
      </c>
      <c r="B288" s="113"/>
      <c r="C288" s="39"/>
      <c r="D288" s="15"/>
    </row>
    <row r="289" spans="1:4" ht="49.5" outlineLevel="1" x14ac:dyDescent="0.2">
      <c r="A289" s="16" t="str">
        <f ca="1">IFERROR(__xludf.DUMMYFUNCTION("""COMPUTED_VALUE"""),"HMTR35 ")</f>
        <v xml:space="preserve">HMTR35 </v>
      </c>
      <c r="B289" s="87" t="str">
        <f ca="1">IFERROR(__xludf.DUMMYFUNCTION("""COMPUTED_VALUE"""),"Тепловизионный прицел HIKMICRO-TR35 12мкм , матрица 384х288 пикс.,увеличение 1х,2x,4x,8x, частота 50Гц,обнаружение до 1800 м., Wi-Fi, объ-35мм.")</f>
        <v>Тепловизионный прицел HIKMICRO-TR35 12мкм , матрица 384х288 пикс.,увеличение 1х,2x,4x,8x, частота 50Гц,обнаружение до 1800 м., Wi-Fi, объ-35мм.</v>
      </c>
      <c r="C289" s="20">
        <v>155000</v>
      </c>
      <c r="D289" s="15"/>
    </row>
    <row r="290" spans="1:4" ht="18.75" outlineLevel="1" x14ac:dyDescent="0.2">
      <c r="A290" s="16" t="str">
        <f ca="1">IFERROR(__xludf.DUMMYFUNCTION("""COMPUTED_VALUE"""),"ADHM")</f>
        <v>ADHM</v>
      </c>
      <c r="B290" s="87" t="str">
        <f ca="1">IFERROR(__xludf.DUMMYFUNCTION("""COMPUTED_VALUE"""),"Адаптер HIKMICRO-PULSAR короткий")</f>
        <v>Адаптер HIKMICRO-PULSAR короткий</v>
      </c>
      <c r="C290" s="21">
        <v>4000</v>
      </c>
      <c r="D290" s="15"/>
    </row>
    <row r="291" spans="1:4" ht="18.75" outlineLevel="1" x14ac:dyDescent="0.2">
      <c r="A291" s="112" t="str">
        <f ca="1">IFERROR(__xludf.DUMMYFUNCTION("""COMPUTED_VALUE"""),"Тепловизионные прицелы DEDAL")</f>
        <v>Тепловизионные прицелы DEDAL</v>
      </c>
      <c r="B291" s="113"/>
      <c r="C291" s="39"/>
      <c r="D291" s="15"/>
    </row>
    <row r="292" spans="1:4" ht="33" outlineLevel="1" x14ac:dyDescent="0.2">
      <c r="A292" s="16" t="str">
        <f ca="1">IFERROR(__xludf.DUMMYFUNCTION("""COMPUTED_VALUE"""),"DEDALEGER17 ")</f>
        <v xml:space="preserve">DEDALEGER17 </v>
      </c>
      <c r="B292" s="87" t="str">
        <f ca="1">IFERROR(__xludf.DUMMYFUNCTION("""COMPUTED_VALUE"""),"Тепловизионный прицел ""Егерь"" 17мкм ,матрица 384х288 пикс.,циф.увеличение 2х,4x, частота 50Гц, объ-50мм F/1,2 оптическое ув.3х.")</f>
        <v>Тепловизионный прицел "Егерь" 17мкм ,матрица 384х288 пикс.,циф.увеличение 2х,4x, частота 50Гц, объ-50мм F/1,2 оптическое ув.3х.</v>
      </c>
      <c r="C292" s="20">
        <v>326000</v>
      </c>
      <c r="D292" s="15"/>
    </row>
    <row r="293" spans="1:4" ht="18.75" outlineLevel="1" x14ac:dyDescent="0.2">
      <c r="A293" s="112" t="str">
        <f ca="1">IFERROR(__xludf.DUMMYFUNCTION("""COMPUTED_VALUE"""),"Тепловизионные прицелы IRAY")</f>
        <v>Тепловизионные прицелы IRAY</v>
      </c>
      <c r="B293" s="113"/>
      <c r="C293" s="39"/>
      <c r="D293" s="15"/>
    </row>
    <row r="294" spans="1:4" ht="33" outlineLevel="1" x14ac:dyDescent="0.2">
      <c r="A294" s="16" t="str">
        <f ca="1">IFERROR(__xludf.DUMMYFUNCTION("""COMPUTED_VALUE"""),"TUBETL35")</f>
        <v>TUBETL35</v>
      </c>
      <c r="B294" s="87" t="str">
        <f ca="1">IFERROR(__xludf.DUMMYFUNCTION("""COMPUTED_VALUE"""),"Тепловизионный прицел IRAY Tube TL35 увеличение 2.2х-8,8x, частота 50Гц, матрица 384х288")</f>
        <v>Тепловизионный прицел IRAY Tube TL35 увеличение 2.2х-8,8x, частота 50Гц, матрица 384х288</v>
      </c>
      <c r="C294" s="20">
        <v>269900</v>
      </c>
      <c r="D294" s="15"/>
    </row>
    <row r="295" spans="1:4" ht="18.75" outlineLevel="1" x14ac:dyDescent="0.2">
      <c r="A295" s="112" t="str">
        <f ca="1">IFERROR(__xludf.DUMMYFUNCTION("""COMPUTED_VALUE"""),"Тепловизионный прибор GAME FINDER, США")</f>
        <v>Тепловизионный прибор GAME FINDER, США</v>
      </c>
      <c r="B295" s="113"/>
      <c r="C295" s="39"/>
      <c r="D295" s="15"/>
    </row>
    <row r="296" spans="1:4" ht="18.75" outlineLevel="1" x14ac:dyDescent="0.2">
      <c r="A296" s="16" t="str">
        <f ca="1">IFERROR(__xludf.DUMMYFUNCTION("""COMPUTED_VALUE"""),"GFLF6")</f>
        <v>GFLF6</v>
      </c>
      <c r="B296" s="87" t="str">
        <f ca="1">IFERROR(__xludf.DUMMYFUNCTION("""COMPUTED_VALUE"""),"Тепловизионный прибор Game Finder-Life Finder LF-6 наушники в комплекте")</f>
        <v>Тепловизионный прибор Game Finder-Life Finder LF-6 наушники в комплекте</v>
      </c>
      <c r="C296" s="20">
        <v>19200</v>
      </c>
      <c r="D296" s="15"/>
    </row>
    <row r="297" spans="1:4" ht="18.75" outlineLevel="1" x14ac:dyDescent="0.2">
      <c r="A297" s="112" t="str">
        <f ca="1">IFERROR(__xludf.DUMMYFUNCTION("""COMPUTED_VALUE"""),"ПРИБОРЫ НОЧНОГО ВИДЕНИЯ")</f>
        <v>ПРИБОРЫ НОЧНОГО ВИДЕНИЯ</v>
      </c>
      <c r="B297" s="113"/>
      <c r="C297" s="56"/>
      <c r="D297" s="15"/>
    </row>
    <row r="298" spans="1:4" ht="18.75" outlineLevel="1" x14ac:dyDescent="0.2">
      <c r="A298" s="112" t="str">
        <f ca="1">IFERROR(__xludf.DUMMYFUNCTION("""COMPUTED_VALUE"""),"Крышка-адаптер для цифровой насадки Forward DFA75")</f>
        <v>Крышка-адаптер для цифровой насадки Forward DFA75</v>
      </c>
      <c r="B298" s="113"/>
      <c r="C298" s="50"/>
      <c r="D298" s="15"/>
    </row>
    <row r="299" spans="1:4" ht="18.75" outlineLevel="1" x14ac:dyDescent="0.2">
      <c r="A299" s="16" t="str">
        <f ca="1">IFERROR(__xludf.DUMMYFUNCTION("""COMPUTED_VALUE"""),"CRАD4275")</f>
        <v>CRАD4275</v>
      </c>
      <c r="B299" s="87" t="str">
        <f ca="1">IFERROR(__xludf.DUMMYFUNCTION("""COMPUTED_VALUE"""),"Крышка-адаптер 42 мм")</f>
        <v>Крышка-адаптер 42 мм</v>
      </c>
      <c r="C299" s="20">
        <v>2000</v>
      </c>
      <c r="D299" s="15"/>
    </row>
    <row r="300" spans="1:4" ht="18.75" outlineLevel="1" x14ac:dyDescent="0.2">
      <c r="A300" s="16" t="str">
        <f ca="1">IFERROR(__xludf.DUMMYFUNCTION("""COMPUTED_VALUE"""),"CRAD5075")</f>
        <v>CRAD5075</v>
      </c>
      <c r="B300" s="87" t="str">
        <f ca="1">IFERROR(__xludf.DUMMYFUNCTION("""COMPUTED_VALUE"""),"Крышка-адаптер 50 мм")</f>
        <v>Крышка-адаптер 50 мм</v>
      </c>
      <c r="C300" s="21">
        <v>2000</v>
      </c>
      <c r="D300" s="15"/>
    </row>
    <row r="301" spans="1:4" ht="18.75" outlineLevel="1" x14ac:dyDescent="0.2">
      <c r="A301" s="16" t="str">
        <f ca="1">IFERROR(__xludf.DUMMYFUNCTION("""COMPUTED_VALUE"""),"CRАD5675")</f>
        <v>CRАD5675</v>
      </c>
      <c r="B301" s="87" t="str">
        <f ca="1">IFERROR(__xludf.DUMMYFUNCTION("""COMPUTED_VALUE"""),"Крышка-адаптер 56 мм")</f>
        <v>Крышка-адаптер 56 мм</v>
      </c>
      <c r="C301" s="21">
        <v>2000</v>
      </c>
      <c r="D301" s="15"/>
    </row>
    <row r="302" spans="1:4" ht="18.75" outlineLevel="1" x14ac:dyDescent="0.2">
      <c r="A302" s="112" t="str">
        <f ca="1">IFERROR(__xludf.DUMMYFUNCTION("""COMPUTED_VALUE"""),"ЦИФРОВЫЕ ОЧКИ НОЧНОГО ВИДЕНИЯ VECTOR OPTICS")</f>
        <v>ЦИФРОВЫЕ ОЧКИ НОЧНОГО ВИДЕНИЯ VECTOR OPTICS</v>
      </c>
      <c r="B302" s="113"/>
      <c r="C302" s="39"/>
      <c r="D302" s="15"/>
    </row>
    <row r="303" spans="1:4" ht="33" outlineLevel="1" x14ac:dyDescent="0.2">
      <c r="A303" s="16" t="str">
        <f ca="1">IFERROR(__xludf.DUMMYFUNCTION("""COMPUTED_VALUE"""),"OWNV-10")</f>
        <v>OWNV-10</v>
      </c>
      <c r="B303" s="87" t="str">
        <f ca="1">IFERROR(__xludf.DUMMYFUNCTION("""COMPUTED_VALUE"""),"Цифровые очки моно 1х18 HELMET (с креплением на шлем), увели-е 1-6x, объек-в 18мм, циф. зум 3х, дист-я до 200м. с ИК, тип кам. CMOS 1920x1080")</f>
        <v>Цифровые очки моно 1х18 HELMET (с креплением на шлем), увели-е 1-6x, объек-в 18мм, циф. зум 3х, дист-я до 200м. с ИК, тип кам. CMOS 1920x1080</v>
      </c>
      <c r="C303" s="20">
        <v>40000</v>
      </c>
      <c r="D303" s="15"/>
    </row>
    <row r="304" spans="1:4" ht="18.75" outlineLevel="1" x14ac:dyDescent="0.2">
      <c r="A304" s="112" t="str">
        <f ca="1">IFERROR(__xludf.DUMMYFUNCTION("""COMPUTED_VALUE"""),"ЦИФРОВОЙ ПРИЦЕЛ НОЧНОГО ВИДЕНИЯ GUIDE")</f>
        <v>ЦИФРОВОЙ ПРИЦЕЛ НОЧНОГО ВИДЕНИЯ GUIDE</v>
      </c>
      <c r="B304" s="113"/>
      <c r="C304" s="37"/>
      <c r="D304" s="15"/>
    </row>
    <row r="305" spans="1:4" ht="33" outlineLevel="1" x14ac:dyDescent="0.2">
      <c r="A305" s="16" t="str">
        <f ca="1">IFERROR(__xludf.DUMMYFUNCTION("""COMPUTED_VALUE"""),"DR30")</f>
        <v>DR30</v>
      </c>
      <c r="B305" s="87" t="str">
        <f ca="1">IFERROR(__xludf.DUMMYFUNCTION("""COMPUTED_VALUE"""),"Цифровой прицел GUIDE DR30 c ИК-940, сенсор 1920х1080, дис-й AMOLED,оп.ув. 2,17-14x, частота 50Гц,циф.-зум 1х-8x, Wi-Fi, объек.-35мм.")</f>
        <v>Цифровой прицел GUIDE DR30 c ИК-940, сенсор 1920х1080, дис-й AMOLED,оп.ув. 2,17-14x, частота 50Гц,циф.-зум 1х-8x, Wi-Fi, объек.-35мм.</v>
      </c>
      <c r="C305" s="16" t="s">
        <v>15</v>
      </c>
      <c r="D305" s="52"/>
    </row>
    <row r="306" spans="1:4" ht="33" outlineLevel="1" x14ac:dyDescent="0.2">
      <c r="A306" s="16" t="str">
        <f ca="1">IFERROR(__xludf.DUMMYFUNCTION("""COMPUTED_VALUE"""),"LDS600LRF
")</f>
        <v xml:space="preserve">LDS600LRF
</v>
      </c>
      <c r="B306" s="87" t="str">
        <f ca="1">IFERROR(__xludf.DUMMYFUNCTION("""COMPUTED_VALUE"""),"Лазерный дальномер S600LRF для прицелов GUIDE, тепловизионная серия TR и цифровая серия DR, дистанция измерения до 600 метров")</f>
        <v>Лазерный дальномер S600LRF для прицелов GUIDE, тепловизионная серия TR и цифровая серия DR, дистанция измерения до 600 метров</v>
      </c>
      <c r="C306" s="21">
        <v>45000</v>
      </c>
      <c r="D306" s="15"/>
    </row>
    <row r="307" spans="1:4" ht="18.75" outlineLevel="1" x14ac:dyDescent="0.2">
      <c r="A307" s="112" t="str">
        <f ca="1">IFERROR(__xludf.DUMMYFUNCTION("""COMPUTED_VALUE"""),"ЦИФРОВОЙ ПРИЦЕЛ НОЧНОГО ВИДЕНИЯ SYTONG")</f>
        <v>ЦИФРОВОЙ ПРИЦЕЛ НОЧНОГО ВИДЕНИЯ SYTONG</v>
      </c>
      <c r="B307" s="113"/>
      <c r="C307" s="39"/>
      <c r="D307" s="15"/>
    </row>
    <row r="308" spans="1:4" ht="49.5" outlineLevel="1" x14ac:dyDescent="0.2">
      <c r="A308" s="16" t="str">
        <f ca="1">IFERROR(__xludf.DUMMYFUNCTION("""COMPUTED_VALUE"""),"HT-70LRF940")</f>
        <v>HT-70LRF940</v>
      </c>
      <c r="B308" s="87" t="str">
        <f ca="1">IFERROR(__xludf.DUMMYFUNCTION("""COMPUTED_VALUE"""),"Цифровой прицел Sytong HT-70LRF увеличение 5-20x, дальность ночного наблюдения до 400м, ИК-осветитель 940nm, Wi-Fi, дистанция измерения до 800 метров")</f>
        <v>Цифровой прицел Sytong HT-70LRF увеличение 5-20x, дальность ночного наблюдения до 400м, ИК-осветитель 940nm, Wi-Fi, дистанция измерения до 800 метров</v>
      </c>
      <c r="C308" s="16" t="s">
        <v>15</v>
      </c>
      <c r="D308" s="52"/>
    </row>
    <row r="309" spans="1:4" ht="49.5" outlineLevel="1" x14ac:dyDescent="0.2">
      <c r="A309" s="16" t="str">
        <f ca="1">IFERROR(__xludf.DUMMYFUNCTION("""COMPUTED_VALUE"""),"HT-70LRF850")</f>
        <v>HT-70LRF850</v>
      </c>
      <c r="B309" s="87" t="str">
        <f ca="1">IFERROR(__xludf.DUMMYFUNCTION("""COMPUTED_VALUE"""),"Цифровой прицел Sytong HT-70LRF увеличение 5-20x, дальность ночного наблюдения до 400м, ИК-осветитель 850nm, Wi-Fi, дистанция измерения до 800 метров")</f>
        <v>Цифровой прицел Sytong HT-70LRF увеличение 5-20x, дальность ночного наблюдения до 400м, ИК-осветитель 850nm, Wi-Fi, дистанция измерения до 800 метров</v>
      </c>
      <c r="C309" s="20">
        <v>79650</v>
      </c>
      <c r="D309" s="15"/>
    </row>
    <row r="310" spans="1:4" ht="18.75" outlineLevel="1" x14ac:dyDescent="0.2">
      <c r="A310" s="112" t="str">
        <f ca="1">IFERROR(__xludf.DUMMYFUNCTION("""COMPUTED_VALUE"""),"ЦИФРОВОЙ БИНОКЛЬ НОЧНОГО ВИДЕНИЯ GUIDE")</f>
        <v>ЦИФРОВОЙ БИНОКЛЬ НОЧНОГО ВИДЕНИЯ GUIDE</v>
      </c>
      <c r="B310" s="113"/>
      <c r="C310" s="37"/>
      <c r="D310" s="52"/>
    </row>
    <row r="311" spans="1:4" ht="49.5" outlineLevel="1" x14ac:dyDescent="0.2">
      <c r="A311" s="16" t="str">
        <f ca="1">IFERROR(__xludf.DUMMYFUNCTION("""COMPUTED_VALUE"""),"DN30 ")</f>
        <v xml:space="preserve">DN30 </v>
      </c>
      <c r="B311" s="87" t="str">
        <f ca="1">IFERROR(__xludf.DUMMYFUNCTION("""COMPUTED_VALUE"""),"Цифровой Бинокль GUIDE DN30 c ИК-940 и со встроенным лазерным дальномером до 1000м., сенсор 3840х2160, дис-й AMOLED,оп.ув. 1,96-15,68x, частота 50Гц,циф.-зум 1х-8x, Wi-Fi, объек.-35мм.")</f>
        <v>Цифровой Бинокль GUIDE DN30 c ИК-940 и со встроенным лазерным дальномером до 1000м., сенсор 3840х2160, дис-й AMOLED,оп.ув. 1,96-15,68x, частота 50Гц,циф.-зум 1х-8x, Wi-Fi, объек.-35мм.</v>
      </c>
      <c r="C311" s="21">
        <v>130000</v>
      </c>
      <c r="D311" s="15"/>
    </row>
    <row r="312" spans="1:4" ht="18.75" outlineLevel="1" x14ac:dyDescent="0.2">
      <c r="A312" s="112" t="str">
        <f ca="1">IFERROR(__xludf.DUMMYFUNCTION("""COMPUTED_VALUE"""),"АКСЕССУАРЫ К ПРИБОРАМ НОЧНОГО ВИДЕНИЯ")</f>
        <v>АКСЕССУАРЫ К ПРИБОРАМ НОЧНОГО ВИДЕНИЯ</v>
      </c>
      <c r="B312" s="113"/>
      <c r="C312" s="39"/>
      <c r="D312" s="15"/>
    </row>
    <row r="313" spans="1:4" ht="33" outlineLevel="1" x14ac:dyDescent="0.2">
      <c r="A313" s="16" t="str">
        <f ca="1">IFERROR(__xludf.DUMMYFUNCTION("""COMPUTED_VALUE"""),"IKX940")</f>
        <v>IKX940</v>
      </c>
      <c r="B313" s="87" t="str">
        <f ca="1">IFERROR(__xludf.DUMMYFUNCTION("""COMPUTED_VALUE"""),"ИК фонарь Pulsar DIGEX-X940S (250мВт-невидимый) тип диода LED, установка прицел диаметром 30 мм.")</f>
        <v>ИК фонарь Pulsar DIGEX-X940S (250мВт-невидимый) тип диода LED, установка прицел диаметром 30 мм.</v>
      </c>
      <c r="C313" s="49">
        <v>15000</v>
      </c>
      <c r="D313" s="15"/>
    </row>
    <row r="314" spans="1:4" ht="18.75" outlineLevel="1" x14ac:dyDescent="0.2">
      <c r="A314" s="16" t="str">
        <f ca="1">IFERROR(__xludf.DUMMYFUNCTION("""COMPUTED_VALUE"""),"IKU850")</f>
        <v>IKU850</v>
      </c>
      <c r="B314" s="87" t="str">
        <f ca="1">IFERROR(__xludf.DUMMYFUNCTION("""COMPUTED_VALUE"""),"ИК-осветитель Pulsar Ultra-850")</f>
        <v>ИК-осветитель Pulsar Ultra-850</v>
      </c>
      <c r="C314" s="21">
        <v>12500</v>
      </c>
      <c r="D314" s="15"/>
    </row>
    <row r="315" spans="1:4" ht="18.75" outlineLevel="1" x14ac:dyDescent="0.2">
      <c r="A315" s="16" t="str">
        <f ca="1">IFERROR(__xludf.DUMMYFUNCTION("""COMPUTED_VALUE"""),"IKUAL915")</f>
        <v>IKUAL915</v>
      </c>
      <c r="B315" s="87" t="str">
        <f ca="1">IFERROR(__xludf.DUMMYFUNCTION("""COMPUTED_VALUE"""),"ИК-осветитель Pulsar Ultra-AL-915")</f>
        <v>ИК-осветитель Pulsar Ultra-AL-915</v>
      </c>
      <c r="C315" s="48">
        <v>11500</v>
      </c>
      <c r="D315" s="15"/>
    </row>
    <row r="316" spans="1:4" ht="18.75" outlineLevel="1" x14ac:dyDescent="0.2">
      <c r="A316" s="16" t="str">
        <f ca="1">IFERROR(__xludf.DUMMYFUNCTION("""COMPUTED_VALUE"""),"IKUX850S")</f>
        <v>IKUX850S</v>
      </c>
      <c r="B316" s="87" t="str">
        <f ca="1">IFERROR(__xludf.DUMMYFUNCTION("""COMPUTED_VALUE"""),"ИК-осветитель Pulsar Ultra-X850 S")</f>
        <v>ИК-осветитель Pulsar Ultra-X850 S</v>
      </c>
      <c r="C316" s="21">
        <v>11500</v>
      </c>
      <c r="D316" s="15"/>
    </row>
    <row r="317" spans="1:4" ht="18.75" outlineLevel="1" x14ac:dyDescent="0.2">
      <c r="A317" s="16" t="str">
        <f ca="1">IFERROR(__xludf.DUMMYFUNCTION("""COMPUTED_VALUE"""),"IKUX850A")</f>
        <v>IKUX850A</v>
      </c>
      <c r="B317" s="87" t="str">
        <f ca="1">IFERROR(__xludf.DUMMYFUNCTION("""COMPUTED_VALUE"""),"ИК-осветитель Pulsar Ultra-Х850 А")</f>
        <v>ИК-осветитель Pulsar Ultra-Х850 А</v>
      </c>
      <c r="C317" s="21">
        <v>11500</v>
      </c>
      <c r="D317" s="15"/>
    </row>
    <row r="318" spans="1:4" ht="18.75" outlineLevel="1" x14ac:dyDescent="0.2">
      <c r="A318" s="16" t="str">
        <f ca="1">IFERROR(__xludf.DUMMYFUNCTION("""COMPUTED_VALUE"""),"IKUX940A")</f>
        <v>IKUX940A</v>
      </c>
      <c r="B318" s="87" t="str">
        <f ca="1">IFERROR(__xludf.DUMMYFUNCTION("""COMPUTED_VALUE"""),"ИК-осветитель Pulsar Ultra-Х940 А")</f>
        <v>ИК-осветитель Pulsar Ultra-Х940 А</v>
      </c>
      <c r="C318" s="21">
        <v>11500</v>
      </c>
      <c r="D318" s="15"/>
    </row>
    <row r="319" spans="1:4" ht="18.75" outlineLevel="1" x14ac:dyDescent="0.2">
      <c r="A319" s="16" t="str">
        <f ca="1">IFERROR(__xludf.DUMMYFUNCTION("""COMPUTED_VALUE"""),"YUKONDNV")</f>
        <v>YUKONDNV</v>
      </c>
      <c r="B319" s="87" t="str">
        <f ca="1">IFERROR(__xludf.DUMMYFUNCTION("""COMPUTED_VALUE"""),"Зарядное устройство Yukon DNV")</f>
        <v>Зарядное устройство Yukon DNV</v>
      </c>
      <c r="C319" s="21">
        <v>4500</v>
      </c>
      <c r="D319" s="52"/>
    </row>
    <row r="320" spans="1:4" ht="18.75" outlineLevel="1" x14ac:dyDescent="0.2">
      <c r="A320" s="16" t="str">
        <f ca="1">IFERROR(__xludf.DUMMYFUNCTION("""COMPUTED_VALUE"""),"APS5")</f>
        <v>APS5</v>
      </c>
      <c r="B320" s="87" t="str">
        <f ca="1">IFERROR(__xludf.DUMMYFUNCTION("""COMPUTED_VALUE"""),"Зарядное устройство APS 5")</f>
        <v>Зарядное устройство APS 5</v>
      </c>
      <c r="C320" s="21">
        <v>5000</v>
      </c>
      <c r="D320" s="15"/>
    </row>
    <row r="321" spans="1:4" ht="18.75" outlineLevel="1" x14ac:dyDescent="0.25">
      <c r="A321" s="27" t="str">
        <f ca="1">IFERROR(__xludf.DUMMYFUNCTION("""COMPUTED_VALUE"""),"CRAPS5")</f>
        <v>CRAPS5</v>
      </c>
      <c r="B321" s="96" t="str">
        <f ca="1">IFERROR(__xludf.DUMMYFUNCTION("""COMPUTED_VALUE"""),"Крышка-фиксатор батареи APS 5")</f>
        <v>Крышка-фиксатор батареи APS 5</v>
      </c>
      <c r="C321" s="21">
        <v>1200</v>
      </c>
      <c r="D321" s="15"/>
    </row>
    <row r="322" spans="1:4" ht="18.75" outlineLevel="1" x14ac:dyDescent="0.2">
      <c r="A322" s="22" t="str">
        <f ca="1">IFERROR(__xludf.DUMMYFUNCTION("""COMPUTED_VALUE"""),"SUPSMART")</f>
        <v>SUPSMART</v>
      </c>
      <c r="B322" s="87" t="str">
        <f ca="1">IFERROR(__xludf.DUMMYFUNCTION("""COMPUTED_VALUE"""),"Подставка для смартфона Pulsar")</f>
        <v>Подставка для смартфона Pulsar</v>
      </c>
      <c r="C322" s="21">
        <v>1000</v>
      </c>
      <c r="D322" s="15"/>
    </row>
    <row r="323" spans="1:4" ht="18.75" outlineLevel="1" x14ac:dyDescent="0.2">
      <c r="A323" s="16">
        <f ca="1">IFERROR(__xludf.DUMMYFUNCTION("""COMPUTED_VALUE"""),29101)</f>
        <v>29101</v>
      </c>
      <c r="B323" s="87" t="str">
        <f ca="1">IFERROR(__xludf.DUMMYFUNCTION("""COMPUTED_VALUE"""),"Бленда 50 мм для NVRS/Sentinel")</f>
        <v>Бленда 50 мм для NVRS/Sentinel</v>
      </c>
      <c r="C323" s="21">
        <v>1000</v>
      </c>
      <c r="D323" s="15"/>
    </row>
    <row r="324" spans="1:4" ht="18.75" outlineLevel="1" x14ac:dyDescent="0.2">
      <c r="A324" s="16" t="str">
        <f ca="1">IFERROR(__xludf.DUMMYFUNCTION("""COMPUTED_VALUE"""),"ONVMT50")</f>
        <v>ONVMT50</v>
      </c>
      <c r="B324" s="87" t="str">
        <f ca="1">IFERROR(__xludf.DUMMYFUNCTION("""COMPUTED_VALUE"""),"Объектив NV MT 50мм для NV MT")</f>
        <v>Объектив NV MT 50мм для NV MT</v>
      </c>
      <c r="C324" s="21">
        <v>4600</v>
      </c>
      <c r="D324" s="15"/>
    </row>
    <row r="325" spans="1:4" ht="18.75" outlineLevel="1" x14ac:dyDescent="0.25">
      <c r="A325" s="16" t="str">
        <f ca="1">IFERROR(__xludf.DUMMYFUNCTION("""COMPUTED_VALUE"""),"LRANGER")</f>
        <v>LRANGER</v>
      </c>
      <c r="B325" s="97" t="str">
        <f ca="1">IFERROR(__xludf.DUMMYFUNCTION("""COMPUTED_VALUE"""),"Светофильтр Ranger, для НВ Ranger")</f>
        <v>Светофильтр Ranger, для НВ Ranger</v>
      </c>
      <c r="C325" s="21">
        <v>500</v>
      </c>
      <c r="D325" s="15"/>
    </row>
    <row r="326" spans="1:4" ht="18.75" outlineLevel="1" x14ac:dyDescent="0.2">
      <c r="A326" s="16" t="str">
        <f ca="1">IFERROR(__xludf.DUMMYFUNCTION("""COMPUTED_VALUE"""),"ACCD")</f>
        <v>ACCD</v>
      </c>
      <c r="B326" s="87" t="str">
        <f ca="1">IFERROR(__xludf.DUMMYFUNCTION("""COMPUTED_VALUE"""),"Автоадаптор CCD")</f>
        <v>Автоадаптор CCD</v>
      </c>
      <c r="C326" s="21">
        <v>500</v>
      </c>
      <c r="D326" s="15"/>
    </row>
    <row r="327" spans="1:4" ht="18.75" outlineLevel="1" x14ac:dyDescent="0.2">
      <c r="A327" s="16" t="str">
        <f ca="1">IFERROR(__xludf.DUMMYFUNCTION("""COMPUTED_VALUE"""),"M79151")</f>
        <v>M79151</v>
      </c>
      <c r="B327" s="87" t="str">
        <f ca="1">IFERROR(__xludf.DUMMYFUNCTION("""COMPUTED_VALUE"""),"Крепление Helion к смартфону")</f>
        <v>Крепление Helion к смартфону</v>
      </c>
      <c r="C327" s="21">
        <v>3500</v>
      </c>
      <c r="D327" s="52"/>
    </row>
    <row r="328" spans="1:4" ht="18.75" outlineLevel="1" x14ac:dyDescent="0.2">
      <c r="A328" s="16" t="str">
        <f ca="1">IFERROR(__xludf.DUMMYFUNCTION("""COMPUTED_VALUE"""),"WMPulsar")</f>
        <v>WMPulsar</v>
      </c>
      <c r="B328" s="87" t="str">
        <f ca="1">IFERROR(__xludf.DUMMYFUNCTION("""COMPUTED_VALUE"""),"Оконное крепление Pulsar")</f>
        <v>Оконное крепление Pulsar</v>
      </c>
      <c r="C328" s="21">
        <v>5500</v>
      </c>
      <c r="D328" s="15"/>
    </row>
    <row r="329" spans="1:4" ht="33" outlineLevel="1" x14ac:dyDescent="0.2">
      <c r="A329" s="16">
        <f ca="1">IFERROR(__xludf.DUMMYFUNCTION("""COMPUTED_VALUE"""),79155)</f>
        <v>79155</v>
      </c>
      <c r="B329" s="87" t="str">
        <f ca="1">IFERROR(__xludf.DUMMYFUNCTION("""COMPUTED_VALUE"""),"Крепление на дерево (столб, колонна и т.п.) приборов Pulsar со штативным гнездом 1/4 или креплением weaver")</f>
        <v>Крепление на дерево (столб, колонна и т.п.) приборов Pulsar со штативным гнездом 1/4 или креплением weaver</v>
      </c>
      <c r="C329" s="21">
        <v>11000</v>
      </c>
      <c r="D329" s="15"/>
    </row>
    <row r="330" spans="1:4" ht="18.75" outlineLevel="1" x14ac:dyDescent="0.2">
      <c r="A330" s="16" t="str">
        <f ca="1">IFERROR(__xludf.DUMMYFUNCTION("""COMPUTED_VALUE"""),"ZCHSIGNAL")</f>
        <v>ZCHSIGNAL</v>
      </c>
      <c r="B330" s="87" t="str">
        <f ca="1">IFERROR(__xludf.DUMMYFUNCTION("""COMPUTED_VALUE"""),"Защитный чехол ПНВ Signal RT")</f>
        <v>Защитный чехол ПНВ Signal RT</v>
      </c>
      <c r="C330" s="21">
        <v>1100</v>
      </c>
      <c r="D330" s="15"/>
    </row>
    <row r="331" spans="1:4" ht="18.75" outlineLevel="1" x14ac:dyDescent="0.2">
      <c r="A331" s="112" t="str">
        <f ca="1">IFERROR(__xludf.DUMMYFUNCTION("""COMPUTED_VALUE"""),"ЛАЗЕРНЫЕ ДАЛЬНОМЕРЫ")</f>
        <v>ЛАЗЕРНЫЕ ДАЛЬНОМЕРЫ</v>
      </c>
      <c r="B331" s="113"/>
      <c r="C331" s="39"/>
      <c r="D331" s="15"/>
    </row>
    <row r="332" spans="1:4" ht="18.75" outlineLevel="1" x14ac:dyDescent="0.2">
      <c r="A332" s="112" t="str">
        <f ca="1">IFERROR(__xludf.DUMMYFUNCTION("""COMPUTED_VALUE"""),"ЛАЗЕРНЫЕ ДАЛЬНОМЕРЫ   VECTOR OPTICS")</f>
        <v>ЛАЗЕРНЫЕ ДАЛЬНОМЕРЫ   VECTOR OPTICS</v>
      </c>
      <c r="B332" s="113"/>
      <c r="C332" s="39"/>
      <c r="D332" s="15"/>
    </row>
    <row r="333" spans="1:4" ht="33" outlineLevel="1" x14ac:dyDescent="0.2">
      <c r="A333" s="16" t="str">
        <f ca="1">IFERROR(__xludf.DUMMYFUNCTION("""COMPUTED_VALUE"""),"SCRF-16")</f>
        <v>SCRF-16</v>
      </c>
      <c r="B333" s="87" t="str">
        <f ca="1">IFERROR(__xludf.DUMMYFUNCTION("""COMPUTED_VALUE"""),"Лазерный дальномер VECTOR OPTICS FORESTER (6х21) GENII арт.SCRF-16 дистанция из. От 5-1500 метров, дисп. OLED")</f>
        <v>Лазерный дальномер VECTOR OPTICS FORESTER (6х21) GENII арт.SCRF-16 дистанция из. От 5-1500 метров, дисп. OLED</v>
      </c>
      <c r="C333" s="20">
        <v>18800</v>
      </c>
      <c r="D333" s="15"/>
    </row>
    <row r="334" spans="1:4" ht="33" outlineLevel="1" x14ac:dyDescent="0.2">
      <c r="A334" s="16" t="str">
        <f ca="1">IFERROR(__xludf.DUMMYFUNCTION("""COMPUTED_VALUE"""),"SCRF-S20")</f>
        <v>SCRF-S20</v>
      </c>
      <c r="B334" s="87" t="str">
        <f ca="1">IFERROR(__xludf.DUMMYFUNCTION("""COMPUTED_VALUE"""),"Лазерный дальномер VECTOR OPTICS PARAGON (6х21) GENIII BDC арт.SCRF-S20 дистанция из. От 5-1850 метров, дисп. OLED")</f>
        <v>Лазерный дальномер VECTOR OPTICS PARAGON (6х21) GENIII BDC арт.SCRF-S20 дистанция из. От 5-1850 метров, дисп. OLED</v>
      </c>
      <c r="C334" s="16" t="s">
        <v>15</v>
      </c>
      <c r="D334" s="15"/>
    </row>
    <row r="335" spans="1:4" ht="33" outlineLevel="1" x14ac:dyDescent="0.2">
      <c r="A335" s="16" t="str">
        <f ca="1">IFERROR(__xludf.DUMMYFUNCTION("""COMPUTED_VALUE"""),"SCRF-20")</f>
        <v>SCRF-20</v>
      </c>
      <c r="B335" s="87" t="str">
        <f ca="1">IFERROR(__xludf.DUMMYFUNCTION("""COMPUTED_VALUE"""),"Лазерный дальномер VECTOR OPTICS PARAGON (6х25) GENII RANGE FINDER арт.SCRF-20,дистанция из. от 5-1850 метров, дисп. LCD")</f>
        <v>Лазерный дальномер VECTOR OPTICS PARAGON (6х25) GENII RANGE FINDER арт.SCRF-20,дистанция из. от 5-1850 метров, дисп. LCD</v>
      </c>
      <c r="C335" s="16" t="s">
        <v>15</v>
      </c>
      <c r="D335" s="15"/>
    </row>
    <row r="336" spans="1:4" ht="33" outlineLevel="1" x14ac:dyDescent="0.2">
      <c r="A336" s="16" t="str">
        <f ca="1">IFERROR(__xludf.DUMMYFUNCTION("""COMPUTED_VALUE"""),"SCRF-S24")</f>
        <v>SCRF-S24</v>
      </c>
      <c r="B336" s="87" t="str">
        <f ca="1">IFERROR(__xludf.DUMMYFUNCTION("""COMPUTED_VALUE"""),"Лазерный дальномер VECTOR OPTICS PARAGON (7х25) GENIII BDC арт.SCRF-S24,дистанция из. от 5-2195 метров, дисп. OLED")</f>
        <v>Лазерный дальномер VECTOR OPTICS PARAGON (7х25) GENIII BDC арт.SCRF-S24,дистанция из. от 5-2195 метров, дисп. OLED</v>
      </c>
      <c r="C336" s="16" t="s">
        <v>15</v>
      </c>
      <c r="D336" s="15"/>
    </row>
    <row r="337" spans="1:4" ht="18.75" outlineLevel="1" x14ac:dyDescent="0.2">
      <c r="A337" s="112" t="str">
        <f ca="1">IFERROR(__xludf.DUMMYFUNCTION("""COMPUTED_VALUE"""),"ЛАЗЕРНЫЕ ПРИБОРЫ И ПАТРОНЫ ХОЛОДНОЙ ПРИСТРЕЛКИ")</f>
        <v>ЛАЗЕРНЫЕ ПРИБОРЫ И ПАТРОНЫ ХОЛОДНОЙ ПРИСТРЕЛКИ</v>
      </c>
      <c r="B337" s="113"/>
      <c r="C337" s="39"/>
      <c r="D337" s="15"/>
    </row>
    <row r="338" spans="1:4" ht="18.75" outlineLevel="1" x14ac:dyDescent="0.2">
      <c r="A338" s="16" t="str">
        <f ca="1">IFERROR(__xludf.DUMMYFUNCTION("""COMPUTED_VALUE"""),"M243308CAL")</f>
        <v>M243308CAL</v>
      </c>
      <c r="B338" s="87" t="str">
        <f ca="1">IFERROR(__xludf.DUMMYFUNCTION("""COMPUTED_VALUE"""),"Патрон холодной пристрелки Sightmark калибр 223 Remington (SM/39001)")</f>
        <v>Патрон холодной пристрелки Sightmark калибр 223 Remington (SM/39001)</v>
      </c>
      <c r="C338" s="20">
        <v>2050</v>
      </c>
      <c r="D338" s="15"/>
    </row>
    <row r="339" spans="1:4" ht="33" outlineLevel="1" x14ac:dyDescent="0.2">
      <c r="A339" s="16" t="str">
        <f ca="1">IFERROR(__xludf.DUMMYFUNCTION("""COMPUTED_VALUE"""),"M3006CAL")</f>
        <v>M3006CAL</v>
      </c>
      <c r="B339" s="87" t="str">
        <f ca="1">IFERROR(__xludf.DUMMYFUNCTION("""COMPUTED_VALUE"""),"Патрон холодной пристрелки Sightmark калибр 30-06 Spring., калибр 270 (SM/39003)")</f>
        <v>Патрон холодной пристрелки Sightmark калибр 30-06 Spring., калибр 270 (SM/39003)</v>
      </c>
      <c r="C339" s="21">
        <v>2050</v>
      </c>
      <c r="D339" s="15"/>
    </row>
    <row r="340" spans="1:4" ht="18.75" outlineLevel="1" x14ac:dyDescent="0.2">
      <c r="A340" s="16" t="str">
        <f ca="1">IFERROR(__xludf.DUMMYFUNCTION("""COMPUTED_VALUE"""),"M300CAL")</f>
        <v>M300CAL</v>
      </c>
      <c r="B340" s="87" t="str">
        <f ca="1">IFERROR(__xludf.DUMMYFUNCTION("""COMPUTED_VALUE"""),"Патрон холодной пристрелки Sightmark калибр 300 Win Magnum (SM/39006)")</f>
        <v>Патрон холодной пристрелки Sightmark калибр 300 Win Magnum (SM/39006)</v>
      </c>
      <c r="C340" s="21">
        <v>2050</v>
      </c>
      <c r="D340" s="15"/>
    </row>
    <row r="341" spans="1:4" ht="18.75" outlineLevel="1" x14ac:dyDescent="0.2">
      <c r="A341" s="16" t="str">
        <f ca="1">IFERROR(__xludf.DUMMYFUNCTION("""COMPUTED_VALUE"""),"M20CAL")</f>
        <v>M20CAL</v>
      </c>
      <c r="B341" s="87" t="str">
        <f ca="1">IFERROR(__xludf.DUMMYFUNCTION("""COMPUTED_VALUE"""),"Патрон холодной пристрелки Sightmark калибр 20")</f>
        <v>Патрон холодной пристрелки Sightmark калибр 20</v>
      </c>
      <c r="C341" s="48">
        <v>2050</v>
      </c>
      <c r="D341" s="15"/>
    </row>
    <row r="342" spans="1:4" ht="18.75" outlineLevel="1" x14ac:dyDescent="0.2">
      <c r="A342" s="112" t="str">
        <f ca="1">IFERROR(__xludf.DUMMYFUNCTION("""COMPUTED_VALUE"""),"ФОНАРИ ОРУЖЕЙНЫЕ И КРЕПЛЕНИЯ, АКСЕССУАРЫ")</f>
        <v>ФОНАРИ ОРУЖЕЙНЫЕ И КРЕПЛЕНИЯ, АКСЕССУАРЫ</v>
      </c>
      <c r="B342" s="113"/>
      <c r="C342" s="37"/>
      <c r="D342" s="15"/>
    </row>
    <row r="343" spans="1:4" ht="18.75" outlineLevel="1" x14ac:dyDescent="0.2">
      <c r="A343" s="112" t="str">
        <f ca="1">IFERROR(__xludf.DUMMYFUNCTION("""COMPUTED_VALUE"""),"ТАКТИЧЕСКИЕ ФОНАРИ ARMYTEK (КАНАДА) ГАРАНТИЯ 10 ЛЕТ")</f>
        <v>ТАКТИЧЕСКИЕ ФОНАРИ ARMYTEK (КАНАДА) ГАРАНТИЯ 10 ЛЕТ</v>
      </c>
      <c r="B343" s="113"/>
      <c r="C343" s="37"/>
      <c r="D343" s="15"/>
    </row>
    <row r="344" spans="1:4" ht="18.75" outlineLevel="1" x14ac:dyDescent="0.2">
      <c r="A344" s="16" t="str">
        <f ca="1">IFERROR(__xludf.DUMMYFUNCTION("""COMPUTED_VALUE"""),"F01603BC")</f>
        <v>F01603BC</v>
      </c>
      <c r="B344" s="87" t="str">
        <f ca="1">IFERROR(__xludf.DUMMYFUNCTION("""COMPUTED_VALUE"""),"Фонарь Armytek Predator v3 /XP-L HI WHITE (холодный свет) 1200 lm (F01603BC)")</f>
        <v>Фонарь Armytek Predator v3 /XP-L HI WHITE (холодный свет) 1200 lm (F01603BC)</v>
      </c>
      <c r="C344" s="20">
        <v>8000</v>
      </c>
      <c r="D344" s="15"/>
    </row>
    <row r="345" spans="1:4" ht="18.75" outlineLevel="1" x14ac:dyDescent="0.2">
      <c r="A345" s="16" t="str">
        <f ca="1">IFERROR(__xludf.DUMMYFUNCTION("""COMPUTED_VALUE"""),"F01603BW")</f>
        <v>F01603BW</v>
      </c>
      <c r="B345" s="87" t="str">
        <f ca="1">IFERROR(__xludf.DUMMYFUNCTION("""COMPUTED_VALUE"""),"Фонарь Armytek Predator XP-L HI WARM (теплый свет) 1150 lm/421m (F01603BW)")</f>
        <v>Фонарь Armytek Predator XP-L HI WARM (теплый свет) 1150 lm/421m (F01603BW)</v>
      </c>
      <c r="C345" s="48">
        <v>8500</v>
      </c>
      <c r="D345" s="15"/>
    </row>
    <row r="346" spans="1:4" ht="33" outlineLevel="1" x14ac:dyDescent="0.2">
      <c r="A346" s="16" t="str">
        <f ca="1">IFERROR(__xludf.DUMMYFUNCTION("""COMPUTED_VALUE"""),"F01602BG")</f>
        <v>F01602BG</v>
      </c>
      <c r="B346" s="87" t="str">
        <f ca="1">IFERROR(__xludf.DUMMYFUNCTION("""COMPUTED_VALUE"""),"Фонарь Armytek Predator v3 /XP-E2 Green (зелёный свет) 240 lm/230метров/1х18650 или 2хCR123A")</f>
        <v>Фонарь Armytek Predator v3 /XP-E2 Green (зелёный свет) 240 lm/230метров/1х18650 или 2хCR123A</v>
      </c>
      <c r="C346" s="21">
        <v>8500</v>
      </c>
      <c r="D346" s="15"/>
    </row>
    <row r="347" spans="1:4" ht="18.75" outlineLevel="1" x14ac:dyDescent="0.2">
      <c r="A347" s="16" t="str">
        <f ca="1">IFERROR(__xludf.DUMMYFUNCTION("""COMPUTED_VALUE"""),"F07301W")</f>
        <v>F07301W</v>
      </c>
      <c r="B347" s="87" t="str">
        <f ca="1">IFERROR(__xludf.DUMMYFUNCTION("""COMPUTED_VALUE"""),"Фонарь Armytek Predator Pro Magnet (теплый свет) арт. (F07301W)")</f>
        <v>Фонарь Armytek Predator Pro Magnet (теплый свет) арт. (F07301W)</v>
      </c>
      <c r="C347" s="48">
        <v>9300</v>
      </c>
      <c r="D347" s="15"/>
    </row>
    <row r="348" spans="1:4" ht="16.5" x14ac:dyDescent="0.25">
      <c r="A348" s="16" t="str">
        <f ca="1">IFERROR(__xludf.DUMMYFUNCTION("""COMPUTED_VALUE"""),"F07301C")</f>
        <v>F07301C</v>
      </c>
      <c r="B348" s="87" t="str">
        <f ca="1">IFERROR(__xludf.DUMMYFUNCTION("""COMPUTED_VALUE"""),"Фонарь Armytek Predator Pro Magnet (белый свет) арт. (F07301C)")</f>
        <v>Фонарь Armytek Predator Pro Magnet (белый свет) арт. (F07301C)</v>
      </c>
      <c r="C348" s="48">
        <v>9300</v>
      </c>
      <c r="D348" s="18"/>
    </row>
    <row r="349" spans="1:4" ht="18.75" outlineLevel="1" x14ac:dyDescent="0.2">
      <c r="A349" s="16" t="str">
        <f ca="1">IFERROR(__xludf.DUMMYFUNCTION("""COMPUTED_VALUE"""),"F07302C")</f>
        <v>F07302C</v>
      </c>
      <c r="B349" s="87" t="str">
        <f ca="1">IFERROR(__xludf.DUMMYFUNCTION("""COMPUTED_VALUE"""),"Фонарь Armytek Predator Pro Magnet USB Extended Set (белый свет)(F07302C)")</f>
        <v>Фонарь Armytek Predator Pro Magnet USB Extended Set (белый свет)(F07302C)</v>
      </c>
      <c r="C349" s="21" t="s">
        <v>15</v>
      </c>
      <c r="D349" s="52"/>
    </row>
    <row r="350" spans="1:4" ht="33" outlineLevel="1" x14ac:dyDescent="0.25">
      <c r="A350" s="27" t="str">
        <f ca="1">IFERROR(__xludf.DUMMYFUNCTION("""COMPUTED_VALUE"""),"F01801BW")</f>
        <v>F01801BW</v>
      </c>
      <c r="B350" s="96" t="str">
        <f ca="1">IFERROR(__xludf.DUMMYFUNCTION("""COMPUTED_VALUE"""),"Фонарь Armytek Viking v3 /XP-L (теплый свет)  1160 lm/305метров/1х18650 или 2хCR123A")</f>
        <v>Фонарь Armytek Viking v3 /XP-L (теплый свет)  1160 lm/305метров/1х18650 или 2хCR123A</v>
      </c>
      <c r="C350" s="21">
        <v>9150</v>
      </c>
      <c r="D350" s="15"/>
    </row>
    <row r="351" spans="1:4" ht="33" outlineLevel="1" x14ac:dyDescent="0.2">
      <c r="A351" s="16" t="str">
        <f ca="1">IFERROR(__xludf.DUMMYFUNCTION("""COMPUTED_VALUE"""),"XP-L")</f>
        <v>XP-L</v>
      </c>
      <c r="B351" s="87" t="str">
        <f ca="1">IFERROR(__xludf.DUMMYFUNCTION("""COMPUTED_VALUE"""),"Фонарь Armytek Viking v3 /XP-L (холодный свет)  1160 lm/305метров/1х18650 или 2хCR123A")</f>
        <v>Фонарь Armytek Viking v3 /XP-L (холодный свет)  1160 lm/305метров/1х18650 или 2хCR123A</v>
      </c>
      <c r="C351" s="48">
        <v>9150</v>
      </c>
      <c r="D351" s="15"/>
    </row>
    <row r="352" spans="1:4" ht="16.5" x14ac:dyDescent="0.25">
      <c r="A352" s="16" t="str">
        <f ca="1">IFERROR(__xludf.DUMMYFUNCTION("""COMPUTED_VALUE"""),"F01903BС")</f>
        <v>F01903BС</v>
      </c>
      <c r="B352" s="87" t="str">
        <f ca="1">IFERROR(__xludf.DUMMYFUNCTION("""COMPUTED_VALUE"""),"Фонарь Armytek Viking PRO XHP50 WHITE (белый свет)  2300 lm/286m (F01903BС)")</f>
        <v>Фонарь Armytek Viking PRO XHP50 WHITE (белый свет)  2300 lm/286m (F01903BС)</v>
      </c>
      <c r="C352" s="21">
        <v>9500</v>
      </c>
      <c r="D352" s="18"/>
    </row>
    <row r="353" spans="1:4" ht="16.5" x14ac:dyDescent="0.25">
      <c r="A353" s="22" t="str">
        <f ca="1">IFERROR(__xludf.DUMMYFUNCTION("""COMPUTED_VALUE"""),"F07701W")</f>
        <v>F07701W</v>
      </c>
      <c r="B353" s="87" t="str">
        <f ca="1">IFERROR(__xludf.DUMMYFUNCTION("""COMPUTED_VALUE"""),"Фонарь Armytek Viking PRO Magnet USB (теплый свет) арт. (F07701W)")</f>
        <v>Фонарь Armytek Viking PRO Magnet USB (теплый свет) арт. (F07701W)</v>
      </c>
      <c r="C353" s="48">
        <v>10000</v>
      </c>
      <c r="D353" s="18"/>
    </row>
    <row r="354" spans="1:4" ht="18.75" x14ac:dyDescent="0.2">
      <c r="A354" s="27" t="str">
        <f ca="1">IFERROR(__xludf.DUMMYFUNCTION("""COMPUTED_VALUE"""),"F07701С")</f>
        <v>F07701С</v>
      </c>
      <c r="B354" s="89" t="str">
        <f ca="1">IFERROR(__xludf.DUMMYFUNCTION("""COMPUTED_VALUE"""),"Фонарь Armytek Viking PRO Magnet USB (белый свет) арт. (F07701С)")</f>
        <v>Фонарь Armytek Viking PRO Magnet USB (белый свет) арт. (F07701С)</v>
      </c>
      <c r="C354" s="21">
        <v>10000</v>
      </c>
      <c r="D354" s="15"/>
    </row>
    <row r="355" spans="1:4" ht="33" x14ac:dyDescent="0.25">
      <c r="A355" s="16" t="str">
        <f ca="1">IFERROR(__xludf.DUMMYFUNCTION("""COMPUTED_VALUE"""),"F02002BG")</f>
        <v>F02002BG</v>
      </c>
      <c r="B355" s="87" t="str">
        <f ca="1">IFERROR(__xludf.DUMMYFUNCTION("""COMPUTED_VALUE"""),"Фонарь Armytek Dobermann /XP-E2 Green (зелёный свет) 240 lm/230метров/1х18650 или 2хCR123A")</f>
        <v>Фонарь Armytek Dobermann /XP-E2 Green (зелёный свет) 240 lm/230метров/1х18650 или 2хCR123A</v>
      </c>
      <c r="C355" s="48">
        <v>6600</v>
      </c>
      <c r="D355" s="18"/>
    </row>
    <row r="356" spans="1:4" ht="18.75" x14ac:dyDescent="0.2">
      <c r="A356" s="16" t="str">
        <f ca="1">IFERROR(__xludf.DUMMYFUNCTION("""COMPUTED_VALUE"""),"F02004C")</f>
        <v>F02004C</v>
      </c>
      <c r="B356" s="87" t="str">
        <f ca="1">IFERROR(__xludf.DUMMYFUNCTION("""COMPUTED_VALUE"""),"Фонарь Armytek Dobermann Hunting Kit (белый свет) (F02004C)")</f>
        <v>Фонарь Armytek Dobermann Hunting Kit (белый свет) (F02004C)</v>
      </c>
      <c r="C356" s="21">
        <v>14000</v>
      </c>
      <c r="D356" s="15"/>
    </row>
    <row r="357" spans="1:4" ht="18.75" x14ac:dyDescent="0.2">
      <c r="A357" s="27" t="str">
        <f ca="1">IFERROR(__xludf.DUMMYFUNCTION("""COMPUTED_VALUE"""),"F02003BW")</f>
        <v>F02003BW</v>
      </c>
      <c r="B357" s="89" t="str">
        <f ca="1">IFERROR(__xludf.DUMMYFUNCTION("""COMPUTED_VALUE"""),"Фонарь Armytek Dobermann XP-L HI (теплый свет) (F02003BW)")</f>
        <v>Фонарь Armytek Dobermann XP-L HI (теплый свет) (F02003BW)</v>
      </c>
      <c r="C357" s="21">
        <v>8300</v>
      </c>
      <c r="D357" s="15"/>
    </row>
    <row r="358" spans="1:4" ht="18.75" x14ac:dyDescent="0.2">
      <c r="A358" s="27" t="str">
        <f ca="1">IFERROR(__xludf.DUMMYFUNCTION("""COMPUTED_VALUE"""),"F07501W")</f>
        <v>F07501W</v>
      </c>
      <c r="B358" s="89" t="str">
        <f ca="1">IFERROR(__xludf.DUMMYFUNCTION("""COMPUTED_VALUE"""),"Фонарь Armytek Dobermann PRO Magnet USB (теплый свет)арт. (F07501W)")</f>
        <v>Фонарь Armytek Dobermann PRO Magnet USB (теплый свет)арт. (F07501W)</v>
      </c>
      <c r="C358" s="21">
        <v>8300</v>
      </c>
      <c r="D358" s="15"/>
    </row>
    <row r="359" spans="1:4" ht="18.75" x14ac:dyDescent="0.2">
      <c r="A359" s="16" t="str">
        <f ca="1">IFERROR(__xludf.DUMMYFUNCTION("""COMPUTED_VALUE"""),"00-00000035")</f>
        <v>00-00000035</v>
      </c>
      <c r="B359" s="87" t="str">
        <f ca="1">IFERROR(__xludf.DUMMYFUNCTION("""COMPUTED_VALUE"""),"Фонарь Armytek Dobermann PRO XHP35 HI 1200 Im арт. (00-00000035)")</f>
        <v>Фонарь Armytek Dobermann PRO XHP35 HI 1200 Im арт. (00-00000035)</v>
      </c>
      <c r="C359" s="45">
        <v>8300</v>
      </c>
      <c r="D359" s="15"/>
    </row>
    <row r="360" spans="1:4" ht="18.75" x14ac:dyDescent="0.25">
      <c r="A360" s="27" t="str">
        <f ca="1">IFERROR(__xludf.DUMMYFUNCTION("""COMPUTED_VALUE"""),"Ш-001777")</f>
        <v>Ш-001777</v>
      </c>
      <c r="B360" s="96" t="str">
        <f ca="1">IFERROR(__xludf.DUMMYFUNCTION("""COMPUTED_VALUE"""),"Фонарь Armytek Barracuda PRO v2/XP-l35 HI (теплый свет) арт.(ш-001777)")</f>
        <v>Фонарь Armytek Barracuda PRO v2/XP-l35 HI (теплый свет) арт.(ш-001777)</v>
      </c>
      <c r="C360" s="21">
        <v>14000</v>
      </c>
      <c r="D360" s="15"/>
    </row>
    <row r="361" spans="1:4" ht="16.5" x14ac:dyDescent="0.25">
      <c r="A361" s="16" t="str">
        <f ca="1">IFERROR(__xludf.DUMMYFUNCTION("""COMPUTED_VALUE"""),"Ш-001453")</f>
        <v>Ш-001453</v>
      </c>
      <c r="B361" s="87" t="str">
        <f ca="1">IFERROR(__xludf.DUMMYFUNCTION("""COMPUTED_VALUE"""),"Фонарь Armytek Barracuda XP-L WARM (теплый свет) 800m")</f>
        <v>Фонарь Armytek Barracuda XP-L WARM (теплый свет) 800m</v>
      </c>
      <c r="C361" s="21">
        <v>11500</v>
      </c>
      <c r="D361" s="18"/>
    </row>
    <row r="362" spans="1:4" ht="18.75" x14ac:dyDescent="0.2">
      <c r="A362" s="56"/>
      <c r="B362" s="93" t="str">
        <f ca="1">IFERROR(__xludf.DUMMYFUNCTION("""COMPUTED_VALUE"""),"                             НАЛОБНЫЕ ФОНАРИ ARMYTEK Elf (КАНАДА) ГАРАНТИЯ 10 ЛЕТ")</f>
        <v xml:space="preserve">                             НАЛОБНЫЕ ФОНАРИ ARMYTEK Elf (КАНАДА) ГАРАНТИЯ 10 ЛЕТ</v>
      </c>
      <c r="C362" s="39"/>
      <c r="D362" s="15"/>
    </row>
    <row r="363" spans="1:4" ht="33" x14ac:dyDescent="0.25">
      <c r="A363" s="16" t="str">
        <f ca="1">IFERROR(__xludf.DUMMYFUNCTION("""COMPUTED_VALUE"""),"F05003W")</f>
        <v>F05003W</v>
      </c>
      <c r="B363" s="87" t="str">
        <f ca="1">IFERROR(__xludf.DUMMYFUNCTION("""COMPUTED_VALUE"""),"Фонарь Armytek Elf C1 USB-C Теплый свет, Аккумулятор Armytek 18350, 900mAh, в комплекте")</f>
        <v>Фонарь Armytek Elf C1 USB-C Теплый свет, Аккумулятор Armytek 18350, 900mAh, в комплекте</v>
      </c>
      <c r="C363" s="45">
        <v>4800</v>
      </c>
      <c r="D363" s="18"/>
    </row>
    <row r="364" spans="1:4" ht="33" x14ac:dyDescent="0.2">
      <c r="A364" s="22" t="str">
        <f ca="1">IFERROR(__xludf.DUMMYFUNCTION("""COMPUTED_VALUE"""),"F05103W")</f>
        <v>F05103W</v>
      </c>
      <c r="B364" s="87" t="str">
        <f ca="1">IFERROR(__xludf.DUMMYFUNCTION("""COMPUTED_VALUE"""),"Фонарь Armytek Elf C2 USB-C теплый свет, аккумулятор Armytek 18650, в комплекте")</f>
        <v>Фонарь Armytek Elf C2 USB-C теплый свет, аккумулятор Armytek 18650, в комплекте</v>
      </c>
      <c r="C364" s="48">
        <v>5200</v>
      </c>
      <c r="D364" s="15"/>
    </row>
    <row r="365" spans="1:4" ht="18.75" x14ac:dyDescent="0.2">
      <c r="A365" s="16" t="str">
        <f ca="1">IFERROR(__xludf.DUMMYFUNCTION("""COMPUTED_VALUE"""),"F05103C")</f>
        <v>F05103C</v>
      </c>
      <c r="B365" s="87" t="str">
        <f ca="1">IFERROR(__xludf.DUMMYFUNCTION("""COMPUTED_VALUE"""),"Фонарь Armytek Elf C2 USB-C белый свет, аккумулятор Armytek 18650, в комплекте")</f>
        <v>Фонарь Armytek Elf C2 USB-C белый свет, аккумулятор Armytek 18650, в комплекте</v>
      </c>
      <c r="C365" s="38">
        <v>5200</v>
      </c>
      <c r="D365" s="15"/>
    </row>
    <row r="366" spans="1:4" ht="18.75" x14ac:dyDescent="0.2">
      <c r="A366" s="112" t="str">
        <f ca="1">IFERROR(__xludf.DUMMYFUNCTION("""COMPUTED_VALUE"""),"НАЛОБНЫЕ ФОНАРИ ARMYTEK Wizard (КАНАДА) ГАРАНТИЯ 10 ЛЕТ")</f>
        <v>НАЛОБНЫЕ ФОНАРИ ARMYTEK Wizard (КАНАДА) ГАРАНТИЯ 10 ЛЕТ</v>
      </c>
      <c r="B366" s="113"/>
      <c r="C366" s="39"/>
      <c r="D366" s="15"/>
    </row>
    <row r="367" spans="1:4" ht="33" x14ac:dyDescent="0.2">
      <c r="A367" s="16" t="str">
        <f ca="1">IFERROR(__xludf.DUMMYFUNCTION("""COMPUTED_VALUE"""),"F08701С")</f>
        <v>F08701С</v>
      </c>
      <c r="B367" s="87" t="str">
        <f ca="1">IFERROR(__xludf.DUMMYFUNCTION("""COMPUTED_VALUE"""),"Фонарь Armytek Wizard С2 Pro Magnet USB Белый свет, 2500 Lm, аккумулятор Armytek 18650, в комплекте")</f>
        <v>Фонарь Armytek Wizard С2 Pro Magnet USB Белый свет, 2500 Lm, аккумулятор Armytek 18650, в комплекте</v>
      </c>
      <c r="C367" s="49">
        <v>8600</v>
      </c>
      <c r="D367" s="15"/>
    </row>
    <row r="368" spans="1:4" ht="33" x14ac:dyDescent="0.25">
      <c r="A368" s="16" t="str">
        <f ca="1">IFERROR(__xludf.DUMMYFUNCTION("""COMPUTED_VALUE"""),"F08701W")</f>
        <v>F08701W</v>
      </c>
      <c r="B368" s="87" t="str">
        <f ca="1">IFERROR(__xludf.DUMMYFUNCTION("""COMPUTED_VALUE"""),"Фонарь Armytek Wizard С2 Pro Magnet USB Теплый свет, 2330 Lm, аккумулятор Armytek 18650, в комплекте")</f>
        <v>Фонарь Armytek Wizard С2 Pro Magnet USB Теплый свет, 2330 Lm, аккумулятор Armytek 18650, в комплекте</v>
      </c>
      <c r="C368" s="48">
        <v>8600</v>
      </c>
      <c r="D368" s="18"/>
    </row>
    <row r="369" spans="1:4" ht="33" x14ac:dyDescent="0.2">
      <c r="A369" s="16" t="str">
        <f ca="1">IFERROR(__xludf.DUMMYFUNCTION("""COMPUTED_VALUE"""),"F06702C")</f>
        <v>F06702C</v>
      </c>
      <c r="B369" s="87" t="str">
        <f ca="1">IFERROR(__xludf.DUMMYFUNCTION("""COMPUTED_VALUE"""),"Фонарь Armytek Wizard C2 Pro Max LR Белый свет, 4000 Lm, аккумулятор Armytek 18650, в комплекте")</f>
        <v>Фонарь Armytek Wizard C2 Pro Max LR Белый свет, 4000 Lm, аккумулятор Armytek 18650, в комплекте</v>
      </c>
      <c r="C369" s="48">
        <v>9000</v>
      </c>
      <c r="D369" s="15"/>
    </row>
    <row r="370" spans="1:4" ht="33" x14ac:dyDescent="0.25">
      <c r="A370" s="16" t="str">
        <f ca="1">IFERROR(__xludf.DUMMYFUNCTION("""COMPUTED_VALUE"""),"F06702W")</f>
        <v>F06702W</v>
      </c>
      <c r="B370" s="87" t="str">
        <f ca="1">IFERROR(__xludf.DUMMYFUNCTION("""COMPUTED_VALUE"""),"Фонарь Armytek Wizard C2 Pro Max LR Теплый свет, 3870 Lm, аккумулятор Armytek 18650, в комплекте")</f>
        <v>Фонарь Armytek Wizard C2 Pro Max LR Теплый свет, 3870 Lm, аккумулятор Armytek 18650, в комплекте</v>
      </c>
      <c r="C370" s="21">
        <v>9000</v>
      </c>
      <c r="D370" s="18"/>
    </row>
    <row r="371" spans="1:4" ht="33" x14ac:dyDescent="0.25">
      <c r="A371" s="16" t="str">
        <f ca="1">IFERROR(__xludf.DUMMYFUNCTION("""COMPUTED_VALUE"""),"F06901C")</f>
        <v>F06901C</v>
      </c>
      <c r="B371" s="87" t="str">
        <f ca="1">IFERROR(__xludf.DUMMYFUNCTION("""COMPUTED_VALUE"""),"Фонарь Armytek Wizard C2 WR Magnet USB Белый свет, 1000 Lm, аккумулятор Armytek 18650, в комплекте")</f>
        <v>Фонарь Armytek Wizard C2 WR Magnet USB Белый свет, 1000 Lm, аккумулятор Armytek 18650, в комплекте</v>
      </c>
      <c r="C371" s="21">
        <v>8600</v>
      </c>
      <c r="D371" s="18"/>
    </row>
    <row r="372" spans="1:4" ht="33" x14ac:dyDescent="0.2">
      <c r="A372" s="16" t="str">
        <f ca="1">IFERROR(__xludf.DUMMYFUNCTION("""COMPUTED_VALUE"""),"F08901C")</f>
        <v>F08901C</v>
      </c>
      <c r="B372" s="87" t="str">
        <f ca="1">IFERROR(__xludf.DUMMYFUNCTION("""COMPUTED_VALUE"""),"Фонарь Armytek Wizard C2 Magnet USB Белый свет, 1200 Lm, аккумулятор Armytek 18650, в комплекте")</f>
        <v>Фонарь Armytek Wizard C2 Magnet USB Белый свет, 1200 Lm, аккумулятор Armytek 18650, в комплекте</v>
      </c>
      <c r="C372" s="48">
        <v>8600</v>
      </c>
      <c r="D372" s="15"/>
    </row>
    <row r="373" spans="1:4" ht="33" x14ac:dyDescent="0.2">
      <c r="A373" s="16" t="str">
        <f ca="1">IFERROR(__xludf.DUMMYFUNCTION("""COMPUTED_VALUE"""),"F06901W")</f>
        <v>F06901W</v>
      </c>
      <c r="B373" s="87" t="str">
        <f ca="1">IFERROR(__xludf.DUMMYFUNCTION("""COMPUTED_VALUE"""),"Фонарь Armytek Wizard C2 WR Magnet USB Теплый свет, 1120 Lm, аккумулятор Armytek 18650, в комплекте")</f>
        <v>Фонарь Armytek Wizard C2 WR Magnet USB Теплый свет, 1120 Lm, аккумулятор Armytek 18650, в комплекте</v>
      </c>
      <c r="C373" s="21">
        <v>8600</v>
      </c>
      <c r="D373" s="15"/>
    </row>
    <row r="374" spans="1:4" ht="16.5" x14ac:dyDescent="0.25">
      <c r="A374" s="112" t="str">
        <f ca="1">IFERROR(__xludf.DUMMYFUNCTION("""COMPUTED_VALUE"""),"БРЕЛКОВЫЕ ФОНАРИ ARMYTEK (КАНАДА) ГАРАНТИЯ 10 ЛЕТ")</f>
        <v>БРЕЛКОВЫЕ ФОНАРИ ARMYTEK (КАНАДА) ГАРАНТИЯ 10 ЛЕТ</v>
      </c>
      <c r="B374" s="113"/>
      <c r="C374" s="37"/>
      <c r="D374" s="18"/>
    </row>
    <row r="375" spans="1:4" ht="18.75" x14ac:dyDescent="0.2">
      <c r="A375" s="16" t="str">
        <f ca="1">IFERROR(__xludf.DUMMYFUNCTION("""COMPUTED_VALUE"""),"F06001B")</f>
        <v>F06001B</v>
      </c>
      <c r="B375" s="87" t="str">
        <f ca="1">IFERROR(__xludf.DUMMYFUNCTION("""COMPUTED_VALUE"""),"Фонарь Armytek Zippy корпус Синий,водонепроницаемый,USB-зарядка")</f>
        <v>Фонарь Armytek Zippy корпус Синий,водонепроницаемый,USB-зарядка</v>
      </c>
      <c r="C375" s="49">
        <v>1400</v>
      </c>
      <c r="D375" s="15"/>
    </row>
    <row r="376" spans="1:4" ht="18.75" x14ac:dyDescent="0.2">
      <c r="A376" s="16" t="str">
        <f ca="1">IFERROR(__xludf.DUMMYFUNCTION("""COMPUTED_VALUE"""),"F06001G")</f>
        <v>F06001G</v>
      </c>
      <c r="B376" s="87" t="str">
        <f ca="1">IFERROR(__xludf.DUMMYFUNCTION("""COMPUTED_VALUE"""),"Фонарь Armytek Zippy корпус Серый,водонепроницаемый,USB-зарядка")</f>
        <v>Фонарь Armytek Zippy корпус Серый,водонепроницаемый,USB-зарядка</v>
      </c>
      <c r="C376" s="21">
        <v>1400</v>
      </c>
      <c r="D376" s="15"/>
    </row>
    <row r="377" spans="1:4" ht="18.75" x14ac:dyDescent="0.2">
      <c r="A377" s="16" t="str">
        <f ca="1">IFERROR(__xludf.DUMMYFUNCTION("""COMPUTED_VALUE"""),"F06001GP")</f>
        <v>F06001GP</v>
      </c>
      <c r="B377" s="87" t="str">
        <f ca="1">IFERROR(__xludf.DUMMYFUNCTION("""COMPUTED_VALUE"""),"Фонарь Armytek Zippy корпус Зелёный,водонепроницаемый,USB-зарядка ")</f>
        <v xml:space="preserve">Фонарь Armytek Zippy корпус Зелёный,водонепроницаемый,USB-зарядка </v>
      </c>
      <c r="C377" s="21">
        <v>1400</v>
      </c>
      <c r="D377" s="15"/>
    </row>
    <row r="378" spans="1:4" ht="18.75" x14ac:dyDescent="0.2">
      <c r="A378" s="16" t="str">
        <f ca="1">IFERROR(__xludf.DUMMYFUNCTION("""COMPUTED_VALUE"""),"F07001G")</f>
        <v>F07001G</v>
      </c>
      <c r="B378" s="87" t="str">
        <f ca="1">IFERROR(__xludf.DUMMYFUNCTION("""COMPUTED_VALUE"""),"Фонарь Armytek Crystal белый и красный свет,водонепроницаемый,USB-зарядка ")</f>
        <v xml:space="preserve">Фонарь Armytek Crystal белый и красный свет,водонепроницаемый,USB-зарядка </v>
      </c>
      <c r="C378" s="48">
        <v>2600</v>
      </c>
      <c r="D378" s="15"/>
    </row>
    <row r="379" spans="1:4" ht="22.5" customHeight="1" x14ac:dyDescent="0.2">
      <c r="A379" s="16" t="str">
        <f ca="1">IFERROR(__xludf.DUMMYFUNCTION("""COMPUTED_VALUE"""),"F07001GUV")</f>
        <v>F07001GUV</v>
      </c>
      <c r="B379" s="94" t="str">
        <f ca="1">IFERROR(__xludf.DUMMYFUNCTION("""COMPUTED_VALUE"""),"Фонарь Armytek Crystal WUV белый и ультрафиолетовый свет, корпус Серый,водонепроницаемый,USB-зарядка ")</f>
        <v xml:space="preserve">Фонарь Armytek Crystal WUV белый и ультрафиолетовый свет, корпус Серый,водонепроницаемый,USB-зарядка </v>
      </c>
      <c r="C379" s="48">
        <v>2600</v>
      </c>
      <c r="D379" s="15"/>
    </row>
    <row r="380" spans="1:4" ht="16.5" x14ac:dyDescent="0.25">
      <c r="A380" s="56"/>
      <c r="B380" s="93" t="str">
        <f ca="1">IFERROR(__xludf.DUMMYFUNCTION("""COMPUTED_VALUE"""),"АКСЕССУАРЫ И КРЕПЛЕНИЯ К ФОНАРЯМ ARMYTEK (ГАРАНТИЯ 2 ГОДА)")</f>
        <v>АКСЕССУАРЫ И КРЕПЛЕНИЯ К ФОНАРЯМ ARMYTEK (ГАРАНТИЯ 2 ГОДА)</v>
      </c>
      <c r="C380" s="37"/>
      <c r="D380" s="18"/>
    </row>
    <row r="381" spans="1:4" ht="18.75" x14ac:dyDescent="0.25">
      <c r="A381" s="58" t="str">
        <f ca="1">IFERROR(__xludf.DUMMYFUNCTION("""COMPUTED_VALUE"""),"А00801")</f>
        <v>А00801</v>
      </c>
      <c r="B381" s="98" t="str">
        <f ca="1">IFERROR(__xludf.DUMMYFUNCTION("""COMPUTED_VALUE"""),"Выносная кнопка Armytek ARS-01 Прямой провод/25см/к фонарям Predator/Viking")</f>
        <v>Выносная кнопка Armytek ARS-01 Прямой провод/25см/к фонарям Predator/Viking</v>
      </c>
      <c r="C381" s="20">
        <v>1400</v>
      </c>
      <c r="D381" s="15"/>
    </row>
    <row r="382" spans="1:4" ht="33" x14ac:dyDescent="0.25">
      <c r="A382" s="16" t="str">
        <f ca="1">IFERROR(__xludf.DUMMYFUNCTION("""COMPUTED_VALUE"""),"А00802")</f>
        <v>А00802</v>
      </c>
      <c r="B382" s="94" t="str">
        <f ca="1">IFERROR(__xludf.DUMMYFUNCTION("""COMPUTED_VALUE"""),"Выносная кнопка Armytek ARS-01 Витой провод/ 25-70 см /к фонарям Predator/Viking")</f>
        <v>Выносная кнопка Armytek ARS-01 Витой провод/ 25-70 см /к фонарям Predator/Viking</v>
      </c>
      <c r="C382" s="48">
        <v>1400</v>
      </c>
      <c r="D382" s="18"/>
    </row>
    <row r="383" spans="1:4" ht="18.75" x14ac:dyDescent="0.2">
      <c r="A383" s="16" t="str">
        <f ca="1">IFERROR(__xludf.DUMMYFUNCTION("""COMPUTED_VALUE"""),"A04901")</f>
        <v>A04901</v>
      </c>
      <c r="B383" s="87" t="str">
        <f ca="1">IFERROR(__xludf.DUMMYFUNCTION("""COMPUTED_VALUE"""),"Выносная магнитная кнопка Armytek Magnetic МRS-01 витой провод")</f>
        <v>Выносная магнитная кнопка Armytek Magnetic МRS-01 витой провод</v>
      </c>
      <c r="C383" s="48">
        <v>1900</v>
      </c>
      <c r="D383" s="15"/>
    </row>
    <row r="384" spans="1:4" ht="18.75" x14ac:dyDescent="0.2">
      <c r="A384" s="16" t="str">
        <f ca="1">IFERROR(__xludf.DUMMYFUNCTION("""COMPUTED_VALUE"""),"AF-3ARM39")</f>
        <v>AF-3ARM39</v>
      </c>
      <c r="B384" s="87" t="str">
        <f ca="1">IFERROR(__xludf.DUMMYFUNCTION("""COMPUTED_VALUE"""),"Фильтр AF-39 (Зеленый) для Armytek Predator/Viking")</f>
        <v>Фильтр AF-39 (Зеленый) для Armytek Predator/Viking</v>
      </c>
      <c r="C384" s="21" t="s">
        <v>15</v>
      </c>
      <c r="D384" s="15"/>
    </row>
    <row r="385" spans="1:4" ht="18.75" x14ac:dyDescent="0.2">
      <c r="A385" s="16" t="str">
        <f ca="1">IFERROR(__xludf.DUMMYFUNCTION("""COMPUTED_VALUE"""),"AARM3200")</f>
        <v>AARM3200</v>
      </c>
      <c r="B385" s="87" t="str">
        <f ca="1">IFERROR(__xludf.DUMMYFUNCTION("""COMPUTED_VALUE"""),"Аккумулятор Armytek 18650 Li-Ion 3200mAh")</f>
        <v>Аккумулятор Armytek 18650 Li-Ion 3200mAh</v>
      </c>
      <c r="C385" s="21">
        <v>2550</v>
      </c>
      <c r="D385" s="15"/>
    </row>
    <row r="386" spans="1:4" ht="18.75" x14ac:dyDescent="0.2">
      <c r="A386" s="16" t="str">
        <f ca="1">IFERROR(__xludf.DUMMYFUNCTION("""COMPUTED_VALUE"""),"АARM3500")</f>
        <v>АARM3500</v>
      </c>
      <c r="B386" s="87" t="str">
        <f ca="1">IFERROR(__xludf.DUMMYFUNCTION("""COMPUTED_VALUE"""),"Аккумулятор Armytek 18650 Li-Ion 3500mAh")</f>
        <v>Аккумулятор Armytek 18650 Li-Ion 3500mAh</v>
      </c>
      <c r="C386" s="21">
        <v>3100</v>
      </c>
      <c r="D386" s="15"/>
    </row>
    <row r="387" spans="1:4" ht="16.5" x14ac:dyDescent="0.25">
      <c r="A387" s="16" t="str">
        <f ca="1">IFERROR(__xludf.DUMMYFUNCTION("""COMPUTED_VALUE"""),"HANDYC1")</f>
        <v>HANDYC1</v>
      </c>
      <c r="B387" s="87" t="str">
        <f ca="1">IFERROR(__xludf.DUMMYFUNCTION("""COMPUTED_VALUE"""),"Зарядное устройство Handy C1 -для одного аккумулятора")</f>
        <v>Зарядное устройство Handy C1 -для одного аккумулятора</v>
      </c>
      <c r="C387" s="48">
        <v>1400</v>
      </c>
      <c r="D387" s="18"/>
    </row>
    <row r="388" spans="1:4" ht="18.75" x14ac:dyDescent="0.2">
      <c r="A388" s="16" t="str">
        <f ca="1">IFERROR(__xludf.DUMMYFUNCTION("""COMPUTED_VALUE"""),"A02401C")</f>
        <v>A02401C</v>
      </c>
      <c r="B388" s="87" t="str">
        <f ca="1">IFERROR(__xludf.DUMMYFUNCTION("""COMPUTED_VALUE"""),"Зарядное устройство Armytek Uni C2 Plug Type C")</f>
        <v>Зарядное устройство Armytek Uni C2 Plug Type C</v>
      </c>
      <c r="C388" s="21">
        <v>2000</v>
      </c>
      <c r="D388" s="15"/>
    </row>
    <row r="389" spans="1:4" ht="16.5" x14ac:dyDescent="0.25">
      <c r="A389" s="16" t="str">
        <f ca="1">IFERROR(__xludf.DUMMYFUNCTION("""COMPUTED_VALUE"""),"A04501C")</f>
        <v>A04501C</v>
      </c>
      <c r="B389" s="87" t="str">
        <f ca="1">IFERROR(__xludf.DUMMYFUNCTION("""COMPUTED_VALUE"""),"Зарядное устройство Armytek Uni C4 Plug Type C")</f>
        <v>Зарядное устройство Armytek Uni C4 Plug Type C</v>
      </c>
      <c r="C389" s="21">
        <v>3000</v>
      </c>
      <c r="D389" s="18"/>
    </row>
    <row r="390" spans="1:4" ht="18.75" x14ac:dyDescent="0.2">
      <c r="A390" s="16" t="str">
        <f ca="1">IFERROR(__xludf.DUMMYFUNCTION("""COMPUTED_VALUE"""),"A02901")</f>
        <v>A02901</v>
      </c>
      <c r="B390" s="87" t="str">
        <f ca="1">IFERROR(__xludf.DUMMYFUNCTION("""COMPUTED_VALUE"""),"Зарядное устройство Armytek Handy C2 Pro")</f>
        <v>Зарядное устройство Armytek Handy C2 Pro</v>
      </c>
      <c r="C390" s="48">
        <v>2000</v>
      </c>
      <c r="D390" s="15"/>
    </row>
    <row r="391" spans="1:4" ht="33" x14ac:dyDescent="0.2">
      <c r="A391" s="16" t="str">
        <f ca="1">IFERROR(__xludf.DUMMYFUNCTION("""COMPUTED_VALUE"""),"MPAMW03")</f>
        <v>MPAMW03</v>
      </c>
      <c r="B391" s="87" t="str">
        <f ca="1">IFERROR(__xludf.DUMMYFUNCTION("""COMPUTED_VALUE"""),"Крепление подствольное AWM-03 (диаметр 25,4 мм) Magnet SB- магнитное крепление на ствол ружья/карабина")</f>
        <v>Крепление подствольное AWM-03 (диаметр 25,4 мм) Magnet SB- магнитное крепление на ствол ружья/карабина</v>
      </c>
      <c r="C391" s="48">
        <v>2300</v>
      </c>
      <c r="D391" s="15"/>
    </row>
    <row r="392" spans="1:4" ht="18.75" x14ac:dyDescent="0.2">
      <c r="A392" s="112" t="str">
        <f ca="1">IFERROR(__xludf.DUMMYFUNCTION("""COMPUTED_VALUE"""),"ФОНАРИ ФО-2 (ЭСТ)")</f>
        <v>ФОНАРИ ФО-2 (ЭСТ)</v>
      </c>
      <c r="B392" s="113"/>
      <c r="C392" s="39"/>
      <c r="D392" s="15"/>
    </row>
    <row r="393" spans="1:4" ht="18.75" x14ac:dyDescent="0.2">
      <c r="A393" s="16" t="str">
        <f ca="1">IFERROR(__xludf.DUMMYFUNCTION("""COMPUTED_VALUE"""),"PОС 3 3350")</f>
        <v>PОС 3 3350</v>
      </c>
      <c r="B393" s="87" t="str">
        <f ca="1">IFERROR(__xludf.DUMMYFUNCTION("""COMPUTED_VALUE"""),"Прожектор ПОС 3 (350м) (три светодиода) с креплением weaver")</f>
        <v>Прожектор ПОС 3 (350м) (три светодиода) с креплением weaver</v>
      </c>
      <c r="C393" s="49">
        <v>11550</v>
      </c>
      <c r="D393" s="15"/>
    </row>
    <row r="394" spans="1:4" ht="18.75" x14ac:dyDescent="0.2">
      <c r="A394" s="16" t="str">
        <f ca="1">IFERROR(__xludf.DUMMYFUNCTION("""COMPUTED_VALUE"""),"OBFO2M1")</f>
        <v>OBFO2M1</v>
      </c>
      <c r="B394" s="87" t="str">
        <f ca="1">IFERROR(__xludf.DUMMYFUNCTION("""COMPUTED_VALUE"""),"Оптический блок для фонаря ФО-2М1")</f>
        <v>Оптический блок для фонаря ФО-2М1</v>
      </c>
      <c r="C394" s="48">
        <v>740</v>
      </c>
      <c r="D394" s="15"/>
    </row>
    <row r="395" spans="1:4" ht="18.75" x14ac:dyDescent="0.2">
      <c r="A395" s="16" t="str">
        <f ca="1">IFERROR(__xludf.DUMMYFUNCTION("""COMPUTED_VALUE"""),"OBFO2L")</f>
        <v>OBFO2L</v>
      </c>
      <c r="B395" s="87" t="str">
        <f ca="1">IFERROR(__xludf.DUMMYFUNCTION("""COMPUTED_VALUE"""),"Оптический блок для фонаря ФО-2L")</f>
        <v>Оптический блок для фонаря ФО-2L</v>
      </c>
      <c r="C395" s="21">
        <v>1430</v>
      </c>
      <c r="D395" s="15"/>
    </row>
    <row r="396" spans="1:4" ht="18.75" x14ac:dyDescent="0.2">
      <c r="A396" s="16" t="str">
        <f ca="1">IFERROR(__xludf.DUMMYFUNCTION("""COMPUTED_VALUE"""),"UZFO4")</f>
        <v>UZFO4</v>
      </c>
      <c r="B396" s="87" t="str">
        <f ca="1">IFERROR(__xludf.DUMMYFUNCTION("""COMPUTED_VALUE"""),"Узел включения (кнопка) к ФО-4")</f>
        <v>Узел включения (кнопка) к ФО-4</v>
      </c>
      <c r="C396" s="21">
        <v>300</v>
      </c>
      <c r="D396" s="15"/>
    </row>
    <row r="397" spans="1:4" ht="18.75" x14ac:dyDescent="0.2">
      <c r="A397" s="16" t="str">
        <f ca="1">IFERROR(__xludf.DUMMYFUNCTION("""COMPUTED_VALUE"""),"GSFO2")</f>
        <v>GSFO2</v>
      </c>
      <c r="B397" s="87" t="str">
        <f ca="1">IFERROR(__xludf.DUMMYFUNCTION("""COMPUTED_VALUE"""),"Гайка стяжная к ФО-2")</f>
        <v>Гайка стяжная к ФО-2</v>
      </c>
      <c r="C397" s="48">
        <v>80</v>
      </c>
      <c r="D397" s="15"/>
    </row>
    <row r="398" spans="1:4" ht="16.5" x14ac:dyDescent="0.25">
      <c r="A398" s="16" t="str">
        <f ca="1">IFERROR(__xludf.DUMMYFUNCTION("""COMPUTED_VALUE"""),"REDKF")</f>
        <v>REDKF</v>
      </c>
      <c r="B398" s="87" t="str">
        <f ca="1">IFERROR(__xludf.DUMMYFUNCTION("""COMPUTED_VALUE"""),"Красный фильтр КФ к ФО")</f>
        <v>Красный фильтр КФ к ФО</v>
      </c>
      <c r="C398" s="48">
        <v>650</v>
      </c>
      <c r="D398" s="18"/>
    </row>
    <row r="399" spans="1:4" ht="18.75" x14ac:dyDescent="0.2">
      <c r="A399" s="112" t="str">
        <f ca="1">IFERROR(__xludf.DUMMYFUNCTION("""COMPUTED_VALUE"""),"КРЕПЛЕНИЯ к ФО-2 для:")</f>
        <v>КРЕПЛЕНИЯ к ФО-2 для:</v>
      </c>
      <c r="B399" s="113"/>
      <c r="C399" s="37"/>
      <c r="D399" s="15"/>
    </row>
    <row r="400" spans="1:4" ht="18.75" x14ac:dyDescent="0.2">
      <c r="A400" s="16" t="str">
        <f ca="1">IFERROR(__xludf.DUMMYFUNCTION("""COMPUTED_VALUE"""),"K2VEPR")</f>
        <v>K2VEPR</v>
      </c>
      <c r="B400" s="87" t="str">
        <f ca="1">IFERROR(__xludf.DUMMYFUNCTION("""COMPUTED_VALUE"""),"Крепление к ФО-2 на Вепрь Супер")</f>
        <v>Крепление к ФО-2 на Вепрь Супер</v>
      </c>
      <c r="C400" s="49">
        <v>650</v>
      </c>
      <c r="D400" s="15"/>
    </row>
    <row r="401" spans="1:4" ht="18.75" x14ac:dyDescent="0.2">
      <c r="A401" s="16" t="str">
        <f ca="1">IFERROR(__xludf.DUMMYFUNCTION("""COMPUTED_VALUE"""),"K23")</f>
        <v>K23</v>
      </c>
      <c r="B401" s="87" t="str">
        <f ca="1">IFERROR(__xludf.DUMMYFUNCTION("""COMPUTED_VALUE"""),"Крепление к ФО-2 на Benelli M3 Super")</f>
        <v>Крепление к ФО-2 на Benelli M3 Super</v>
      </c>
      <c r="C401" s="48">
        <v>650</v>
      </c>
      <c r="D401" s="15"/>
    </row>
    <row r="402" spans="1:4" ht="18.75" x14ac:dyDescent="0.2">
      <c r="A402" s="16" t="str">
        <f ca="1">IFERROR(__xludf.DUMMYFUNCTION("""COMPUTED_VALUE"""),"K2390")</f>
        <v>K2390</v>
      </c>
      <c r="B402" s="87" t="str">
        <f ca="1">IFERROR(__xludf.DUMMYFUNCTION("""COMPUTED_VALUE"""),"Крепление к ФО-2 на Beretta AL-390")</f>
        <v>Крепление к ФО-2 на Beretta AL-390</v>
      </c>
      <c r="C402" s="48">
        <v>650</v>
      </c>
      <c r="D402" s="15"/>
    </row>
    <row r="403" spans="1:4" ht="18.75" x14ac:dyDescent="0.2">
      <c r="A403" s="16" t="str">
        <f ca="1">IFERROR(__xludf.DUMMYFUNCTION("""COMPUTED_VALUE"""),"K2391")</f>
        <v>K2391</v>
      </c>
      <c r="B403" s="87" t="str">
        <f ca="1">IFERROR(__xludf.DUMMYFUNCTION("""COMPUTED_VALUE"""),"Крепление к ФО-2 на Beretta AL-391 Urica")</f>
        <v>Крепление к ФО-2 на Beretta AL-391 Urica</v>
      </c>
      <c r="C403" s="48">
        <v>650</v>
      </c>
      <c r="D403" s="15"/>
    </row>
    <row r="404" spans="1:4" ht="18.75" x14ac:dyDescent="0.2">
      <c r="A404" s="16" t="str">
        <f ca="1">IFERROR(__xludf.DUMMYFUNCTION("""COMPUTED_VALUE"""),"K2FUSION")</f>
        <v>K2FUSION</v>
      </c>
      <c r="B404" s="87" t="str">
        <f ca="1">IFERROR(__xludf.DUMMYFUNCTION("""COMPUTED_VALUE"""),"Крепление к ФО-2 на Browning “GOLD FUSION”")</f>
        <v>Крепление к ФО-2 на Browning “GOLD FUSION”</v>
      </c>
      <c r="C404" s="48">
        <v>650</v>
      </c>
      <c r="D404" s="15"/>
    </row>
    <row r="405" spans="1:4" ht="18.75" x14ac:dyDescent="0.2">
      <c r="A405" s="16" t="str">
        <f ca="1">IFERROR(__xludf.DUMMYFUNCTION("""COMPUTED_VALUE"""),"K2GOLD")</f>
        <v>K2GOLD</v>
      </c>
      <c r="B405" s="87" t="str">
        <f ca="1">IFERROR(__xludf.DUMMYFUNCTION("""COMPUTED_VALUE"""),"Крепление к ФО-2 на Browning “GOLD”")</f>
        <v>Крепление к ФО-2 на Browning “GOLD”</v>
      </c>
      <c r="C405" s="48">
        <v>650</v>
      </c>
      <c r="D405" s="15"/>
    </row>
    <row r="406" spans="1:4" ht="16.5" x14ac:dyDescent="0.25">
      <c r="A406" s="16" t="str">
        <f ca="1">IFERROR(__xludf.DUMMYFUNCTION("""COMPUTED_VALUE"""),"K2FABARM")</f>
        <v>K2FABARM</v>
      </c>
      <c r="B406" s="87" t="str">
        <f ca="1">IFERROR(__xludf.DUMMYFUNCTION("""COMPUTED_VALUE"""),"Крепление к ФО-2 на Fabarm mod Italy")</f>
        <v>Крепление к ФО-2 на Fabarm mod Italy</v>
      </c>
      <c r="C406" s="48">
        <v>650</v>
      </c>
      <c r="D406" s="18"/>
    </row>
    <row r="407" spans="1:4" ht="18.75" x14ac:dyDescent="0.2">
      <c r="A407" s="16" t="str">
        <f ca="1">IFERROR(__xludf.DUMMYFUNCTION("""COMPUTED_VALUE"""),"K2WINCH")</f>
        <v>K2WINCH</v>
      </c>
      <c r="B407" s="87" t="str">
        <f ca="1">IFERROR(__xludf.DUMMYFUNCTION("""COMPUTED_VALUE"""),"Крепление к ФО-2 на Winchester 1200, 1300, 1400")</f>
        <v>Крепление к ФО-2 на Winchester 1200, 1300, 1400</v>
      </c>
      <c r="C407" s="48">
        <v>800</v>
      </c>
      <c r="D407" s="15"/>
    </row>
    <row r="408" spans="1:4" ht="18.75" x14ac:dyDescent="0.2">
      <c r="A408" s="16" t="str">
        <f ca="1">IFERROR(__xludf.DUMMYFUNCTION("""COMPUTED_VALUE"""),"K2BECASA")</f>
        <v>K2BECASA</v>
      </c>
      <c r="B408" s="87" t="str">
        <f ca="1">IFERROR(__xludf.DUMMYFUNCTION("""COMPUTED_VALUE"""),"Крепление к ФО-2 на Бекас-Авто")</f>
        <v>Крепление к ФО-2 на Бекас-Авто</v>
      </c>
      <c r="C408" s="48">
        <v>650</v>
      </c>
      <c r="D408" s="15"/>
    </row>
    <row r="409" spans="1:4" ht="18.75" x14ac:dyDescent="0.2">
      <c r="A409" s="16" t="str">
        <f ca="1">IFERROR(__xludf.DUMMYFUNCTION("""COMPUTED_VALUE"""),"К281")</f>
        <v>К281</v>
      </c>
      <c r="B409" s="87" t="str">
        <f ca="1">IFERROR(__xludf.DUMMYFUNCTION("""COMPUTED_VALUE"""),"Крепление к ФО-2 на ИЖ-81")</f>
        <v>Крепление к ФО-2 на ИЖ-81</v>
      </c>
      <c r="C409" s="48">
        <v>650</v>
      </c>
      <c r="D409" s="15"/>
    </row>
    <row r="410" spans="1:4" ht="16.5" x14ac:dyDescent="0.25">
      <c r="A410" s="16" t="str">
        <f ca="1">IFERROR(__xludf.DUMMYFUNCTION("""COMPUTED_VALUE"""),"K2W")</f>
        <v>K2W</v>
      </c>
      <c r="B410" s="87" t="str">
        <f ca="1">IFERROR(__xludf.DUMMYFUNCTION("""COMPUTED_VALUE"""),"Крепление к ФО-2 на планку Weaver")</f>
        <v>Крепление к ФО-2 на планку Weaver</v>
      </c>
      <c r="C410" s="48">
        <v>650</v>
      </c>
      <c r="D410" s="18"/>
    </row>
    <row r="411" spans="1:4" ht="18.75" x14ac:dyDescent="0.2">
      <c r="A411" s="16" t="str">
        <f ca="1">IFERROR(__xludf.DUMMYFUNCTION("""COMPUTED_VALUE"""),"K2BENELLI")</f>
        <v>K2BENELLI</v>
      </c>
      <c r="B411" s="87" t="str">
        <f ca="1">IFERROR(__xludf.DUMMYFUNCTION("""COMPUTED_VALUE"""),"Крепление к ФО-2 на Сайга-«Тактика», Benelli-M4, охват Ø 22-26 мм,")</f>
        <v>Крепление к ФО-2 на Сайга-«Тактика», Benelli-M4, охват Ø 22-26 мм,</v>
      </c>
      <c r="C411" s="48">
        <v>1000</v>
      </c>
      <c r="D411" s="15"/>
    </row>
    <row r="412" spans="1:4" ht="18.75" x14ac:dyDescent="0.2">
      <c r="A412" s="16" t="str">
        <f ca="1">IFERROR(__xludf.DUMMYFUNCTION("""COMPUTED_VALUE"""),"K2SAIGA12")</f>
        <v>K2SAIGA12</v>
      </c>
      <c r="B412" s="87" t="str">
        <f ca="1">IFERROR(__xludf.DUMMYFUNCTION("""COMPUTED_VALUE"""),"Крепление к ФО-2 на Сайгу-12")</f>
        <v>Крепление к ФО-2 на Сайгу-12</v>
      </c>
      <c r="C412" s="48">
        <v>650</v>
      </c>
      <c r="D412" s="15"/>
    </row>
    <row r="413" spans="1:4" ht="18.75" x14ac:dyDescent="0.2">
      <c r="A413" s="16" t="str">
        <f ca="1">IFERROR(__xludf.DUMMYFUNCTION("""COMPUTED_VALUE"""),"К2SAIGA20")</f>
        <v>К2SAIGA20</v>
      </c>
      <c r="B413" s="87" t="str">
        <f ca="1">IFERROR(__xludf.DUMMYFUNCTION("""COMPUTED_VALUE"""),"Крепление к ФО-2 на Сайгу-20")</f>
        <v>Крепление к ФО-2 на Сайгу-20</v>
      </c>
      <c r="C413" s="21">
        <v>700</v>
      </c>
      <c r="D413" s="15"/>
    </row>
    <row r="414" spans="1:4" ht="18.75" x14ac:dyDescent="0.2">
      <c r="A414" s="16" t="str">
        <f ca="1">IFERROR(__xludf.DUMMYFUNCTION("""COMPUTED_VALUE"""),"K2TOZ34")</f>
        <v>K2TOZ34</v>
      </c>
      <c r="B414" s="87" t="str">
        <f ca="1">IFERROR(__xludf.DUMMYFUNCTION("""COMPUTED_VALUE"""),"Крепление к ФО-2 на ТОЗ-34, ИЖ-27")</f>
        <v>Крепление к ФО-2 на ТОЗ-34, ИЖ-27</v>
      </c>
      <c r="C414" s="21">
        <v>1200</v>
      </c>
      <c r="D414" s="15"/>
    </row>
    <row r="415" spans="1:4" ht="18.75" x14ac:dyDescent="0.2">
      <c r="A415" s="16" t="str">
        <f ca="1">IFERROR(__xludf.DUMMYFUNCTION("""COMPUTED_VALUE"""),"К2TOZ87")</f>
        <v>К2TOZ87</v>
      </c>
      <c r="B415" s="87" t="str">
        <f ca="1">IFERROR(__xludf.DUMMYFUNCTION("""COMPUTED_VALUE"""),"Крепление к ФО-2 на ТОЗ-87, Benelli Black Eagle, Benelli M2")</f>
        <v>Крепление к ФО-2 на ТОЗ-87, Benelli Black Eagle, Benelli M2</v>
      </c>
      <c r="C415" s="48">
        <v>650</v>
      </c>
      <c r="D415" s="15"/>
    </row>
    <row r="416" spans="1:4" ht="18.75" x14ac:dyDescent="0.2">
      <c r="A416" s="16" t="str">
        <f ca="1">IFERROR(__xludf.DUMMYFUNCTION("""COMPUTED_VALUE"""),"K2FO4W")</f>
        <v>K2FO4W</v>
      </c>
      <c r="B416" s="87" t="str">
        <f ca="1">IFERROR(__xludf.DUMMYFUNCTION("""COMPUTED_VALUE"""),"Крепление к ФО-4 на weaver")</f>
        <v>Крепление к ФО-4 на weaver</v>
      </c>
      <c r="C416" s="21">
        <v>600</v>
      </c>
      <c r="D416" s="15"/>
    </row>
    <row r="417" spans="1:4" ht="18.75" x14ac:dyDescent="0.2">
      <c r="A417" s="16" t="str">
        <f ca="1">IFERROR(__xludf.DUMMYFUNCTION("""COMPUTED_VALUE"""),"K2FO4IJ27")</f>
        <v>K2FO4IJ27</v>
      </c>
      <c r="B417" s="87" t="str">
        <f ca="1">IFERROR(__xludf.DUMMYFUNCTION("""COMPUTED_VALUE"""),"Крепление к ФО-4 на ИЖ-27, ТОЗ-34")</f>
        <v>Крепление к ФО-4 на ИЖ-27, ТОЗ-34</v>
      </c>
      <c r="C417" s="21">
        <v>700</v>
      </c>
      <c r="D417" s="15"/>
    </row>
    <row r="418" spans="1:4" ht="18.75" x14ac:dyDescent="0.2">
      <c r="A418" s="16" t="str">
        <f ca="1">IFERROR(__xludf.DUMMYFUNCTION("""COMPUTED_VALUE"""),"K2FO41719")</f>
        <v>K2FO41719</v>
      </c>
      <c r="B418" s="87" t="str">
        <f ca="1">IFERROR(__xludf.DUMMYFUNCTION("""COMPUTED_VALUE"""),"Крепление к ФО-4 охват 17-19,5 мм")</f>
        <v>Крепление к ФО-4 охват 17-19,5 мм</v>
      </c>
      <c r="C418" s="21">
        <v>600</v>
      </c>
      <c r="D418" s="15"/>
    </row>
    <row r="419" spans="1:4" ht="18.75" x14ac:dyDescent="0.2">
      <c r="A419" s="16" t="str">
        <f ca="1">IFERROR(__xludf.DUMMYFUNCTION("""COMPUTED_VALUE"""),"KP8")</f>
        <v>KP8</v>
      </c>
      <c r="B419" s="87" t="str">
        <f ca="1">IFERROR(__xludf.DUMMYFUNCTION("""COMPUTED_VALUE"""),"Крепление на ружье КР-8")</f>
        <v>Крепление на ружье КР-8</v>
      </c>
      <c r="C419" s="48">
        <v>1100</v>
      </c>
      <c r="D419" s="15"/>
    </row>
    <row r="420" spans="1:4" ht="18.75" x14ac:dyDescent="0.2">
      <c r="A420" s="112" t="str">
        <f ca="1">IFERROR(__xludf.DUMMYFUNCTION("""COMPUTED_VALUE""")," GPS НАВИГАТОРЫ С ЦИФРОВЫМ КОМПАСОМ И ЦИФРОВЫЕ КАМЕРЫ СЛЕЖЕНИЯ")</f>
        <v xml:space="preserve"> GPS НАВИГАТОРЫ С ЦИФРОВЫМ КОМПАСОМ И ЦИФРОВЫЕ КАМЕРЫ СЛЕЖЕНИЯ</v>
      </c>
      <c r="B420" s="113"/>
      <c r="C420" s="39"/>
      <c r="D420" s="52"/>
    </row>
    <row r="421" spans="1:4" ht="18.75" x14ac:dyDescent="0.2">
      <c r="A421" s="112" t="str">
        <f ca="1">IFERROR(__xludf.DUMMYFUNCTION("""COMPUTED_VALUE"""),"ЦИФРОВЫЕ КАМЕРЫ СЛЕЖЕНИЯ BUSHNELL")</f>
        <v>ЦИФРОВЫЕ КАМЕРЫ СЛЕЖЕНИЯ BUSHNELL</v>
      </c>
      <c r="B421" s="113"/>
      <c r="C421" s="39"/>
      <c r="D421" s="15"/>
    </row>
    <row r="422" spans="1:4" ht="49.5" x14ac:dyDescent="0.2">
      <c r="A422" s="16" t="str">
        <f ca="1">IFERROR(__xludf.DUMMYFUNCTION("""COMPUTED_VALUE"""),"360411BG")</f>
        <v>360411BG</v>
      </c>
      <c r="B422" s="87" t="str">
        <f ca="1">IFERROR(__xludf.DUMMYFUNCTION("""COMPUTED_VALUE"""),"Цифровая камера слежения BUSHNELL NatureView Cam HD LiveView Запись фото и видео на карту памяти. Разрешение камеры 3; 5; 14 Мпикс. ЖК дисплей: встроенный ч/б текстовый; выносной цветной 2,4"". (119740)")</f>
        <v>Цифровая камера слежения BUSHNELL NatureView Cam HD LiveView Запись фото и видео на карту памяти. Разрешение камеры 3; 5; 14 Мпикс. ЖК дисплей: встроенный ч/б текстовый; выносной цветной 2,4". (119740)</v>
      </c>
      <c r="C422" s="20">
        <v>27500</v>
      </c>
      <c r="D422" s="44"/>
    </row>
    <row r="423" spans="1:4" ht="16.5" x14ac:dyDescent="0.25">
      <c r="A423" s="16" t="str">
        <f ca="1">IFERROR(__xludf.DUMMYFUNCTION("""COMPUTED_VALUE"""),"119653C")</f>
        <v>119653C</v>
      </c>
      <c r="B423" s="87" t="str">
        <f ca="1">IFERROR(__xludf.DUMMYFUNCTION("""COMPUTED_VALUE"""),"Антивандальный запираемый бокс для камер слежения")</f>
        <v>Антивандальный запираемый бокс для камер слежения</v>
      </c>
      <c r="C423" s="21">
        <v>3500</v>
      </c>
      <c r="D423" s="18"/>
    </row>
    <row r="424" spans="1:4" ht="18.75" x14ac:dyDescent="0.2">
      <c r="A424" s="112" t="str">
        <f ca="1">IFERROR(__xludf.DUMMYFUNCTION("""COMPUTED_VALUE"""),"МУШКИ, МАНКИ ДУХОВЫЕ И ЭЛЕКТРОННЫЕ")</f>
        <v>МУШКИ, МАНКИ ДУХОВЫЕ И ЭЛЕКТРОННЫЕ</v>
      </c>
      <c r="B424" s="113"/>
      <c r="C424" s="39"/>
      <c r="D424" s="15"/>
    </row>
    <row r="425" spans="1:4" ht="18.75" x14ac:dyDescent="0.2">
      <c r="A425" s="114" t="str">
        <f ca="1">IFERROR(__xludf.DUMMYFUNCTION("""COMPUTED_VALUE"""),"Манки Buck Expert (Канада)")</f>
        <v>Манки Buck Expert (Канада)</v>
      </c>
      <c r="B425" s="113"/>
      <c r="C425" s="39"/>
      <c r="D425" s="15"/>
    </row>
    <row r="426" spans="1:4" ht="18.75" x14ac:dyDescent="0.2">
      <c r="A426" s="59" t="str">
        <f ca="1">IFERROR(__xludf.DUMMYFUNCTION("""COMPUTED_VALUE"""),"70M")</f>
        <v>70M</v>
      </c>
      <c r="B426" s="99" t="str">
        <f ca="1">IFERROR(__xludf.DUMMYFUNCTION("""COMPUTED_VALUE"""),"Манок 70М mini на лося")</f>
        <v>Манок 70М mini на лося</v>
      </c>
      <c r="C426" s="21" t="s">
        <v>15</v>
      </c>
      <c r="D426" s="15"/>
    </row>
    <row r="427" spans="1:4" ht="18.75" x14ac:dyDescent="0.2">
      <c r="A427" s="16" t="str">
        <f ca="1">IFERROR(__xludf.DUMMYFUNCTION("""COMPUTED_VALUE"""),"78 О-T")</f>
        <v>78 О-T</v>
      </c>
      <c r="B427" s="87" t="str">
        <f ca="1">IFERROR(__xludf.DUMMYFUNCTION("""COMPUTED_VALUE"""),"Манок 78 О-T Buck Expert на утку с обучающим CD, черный")</f>
        <v>Манок 78 О-T Buck Expert на утку с обучающим CD, черный</v>
      </c>
      <c r="C427" s="21">
        <v>2800</v>
      </c>
      <c r="D427" s="15"/>
    </row>
    <row r="428" spans="1:4" ht="18.75" x14ac:dyDescent="0.2">
      <c r="A428" s="112" t="str">
        <f ca="1">IFERROR(__xludf.DUMMYFUNCTION("""COMPUTED_VALUE"""),"Манки электронные (Россия)")</f>
        <v>Манки электронные (Россия)</v>
      </c>
      <c r="B428" s="113"/>
      <c r="C428" s="39"/>
      <c r="D428" s="15"/>
    </row>
    <row r="429" spans="1:4" ht="33" x14ac:dyDescent="0.2">
      <c r="A429" s="16" t="str">
        <f ca="1">IFERROR(__xludf.DUMMYFUNCTION("""COMPUTED_VALUE"""),"DYE69")</f>
        <v>DYE69</v>
      </c>
      <c r="B429" s="87" t="str">
        <f ca="1">IFERROR(__xludf.DUMMYFUNCTION("""COMPUTED_VALUE"""),"Манок электронный БИОФОН-6 (9 голосов), динамик + чехол, дистанционное управление")</f>
        <v>Манок электронный БИОФОН-6 (9 голосов), динамик + чехол, дистанционное управление</v>
      </c>
      <c r="C429" s="20">
        <v>7900</v>
      </c>
      <c r="D429" s="15"/>
    </row>
    <row r="430" spans="1:4" ht="18.75" x14ac:dyDescent="0.2">
      <c r="A430" s="112" t="str">
        <f ca="1">IFERROR(__xludf.DUMMYFUNCTION("""COMPUTED_VALUE"""),"Оптоволоконные мушки HiViz (США)")</f>
        <v>Оптоволоконные мушки HiViz (США)</v>
      </c>
      <c r="B430" s="113"/>
      <c r="C430" s="39"/>
      <c r="D430" s="15"/>
    </row>
    <row r="431" spans="1:4" ht="18.75" x14ac:dyDescent="0.2">
      <c r="A431" s="16" t="str">
        <f ca="1">IFERROR(__xludf.DUMMYFUNCTION("""COMPUTED_VALUE"""),"MGC2007-I")</f>
        <v>MGC2007-I</v>
      </c>
      <c r="B431" s="87" t="str">
        <f ca="1">IFERROR(__xludf.DUMMYFUNCTION("""COMPUTED_VALUE"""),"Мушка HiViz MagniHunt MGC2007-I, 5,8- 8,3мм")</f>
        <v>Мушка HiViz MagniHunt MGC2007-I, 5,8- 8,3мм</v>
      </c>
      <c r="C431" s="20">
        <v>2800</v>
      </c>
      <c r="D431" s="15"/>
    </row>
    <row r="432" spans="1:4" ht="18.75" x14ac:dyDescent="0.2">
      <c r="A432" s="16" t="str">
        <f ca="1">IFERROR(__xludf.DUMMYFUNCTION("""COMPUTED_VALUE"""),"TT1001")</f>
        <v>TT1001</v>
      </c>
      <c r="B432" s="87" t="str">
        <f ca="1">IFERROR(__xludf.DUMMYFUNCTION("""COMPUTED_VALUE"""),"Мушка HiViz TT1001 Combo Sight, универсальная")</f>
        <v>Мушка HiViz TT1001 Combo Sight, универсальная</v>
      </c>
      <c r="C432" s="21">
        <v>3000</v>
      </c>
      <c r="D432" s="15"/>
    </row>
    <row r="433" spans="1:4" ht="18.75" x14ac:dyDescent="0.2">
      <c r="A433" s="16" t="str">
        <f ca="1">IFERROR(__xludf.DUMMYFUNCTION("""COMPUTED_VALUE"""),"FP1001 ")</f>
        <v xml:space="preserve">FP1001 </v>
      </c>
      <c r="B433" s="87" t="str">
        <f ca="1">IFERROR(__xludf.DUMMYFUNCTION("""COMPUTED_VALUE"""),"Мушка HiViz FP1001 FlashPoint Front Sight")</f>
        <v>Мушка HiViz FP1001 FlashPoint Front Sight</v>
      </c>
      <c r="C433" s="21">
        <v>2400</v>
      </c>
      <c r="D433" s="15"/>
    </row>
    <row r="434" spans="1:4" ht="18.75" x14ac:dyDescent="0.2">
      <c r="A434" s="112" t="str">
        <f ca="1">IFERROR(__xludf.DUMMYFUNCTION("""COMPUTED_VALUE"""),"КРЕПЛЕНИЯ И АКСЕССУАРЫ ДЛЯ ОПТИЧЕСКИХ ПРИЦЕЛОВ")</f>
        <v>КРЕПЛЕНИЯ И АКСЕССУАРЫ ДЛЯ ОПТИЧЕСКИХ ПРИЦЕЛОВ</v>
      </c>
      <c r="B434" s="113"/>
      <c r="C434" s="39"/>
      <c r="D434" s="15"/>
    </row>
    <row r="435" spans="1:4" ht="18.75" x14ac:dyDescent="0.2">
      <c r="A435" s="112" t="str">
        <f ca="1">IFERROR(__xludf.DUMMYFUNCTION("""COMPUTED_VALUE"""),"КРЕПЛЕНИЯ ДЛЯ ОПТИЧЕСКИХ ПРИЦЕЛОВ VORTEX")</f>
        <v>КРЕПЛЕНИЯ ДЛЯ ОПТИЧЕСКИХ ПРИЦЕЛОВ VORTEX</v>
      </c>
      <c r="B435" s="113"/>
      <c r="C435" s="56"/>
      <c r="D435" s="15"/>
    </row>
    <row r="436" spans="1:4" ht="18.75" x14ac:dyDescent="0.2">
      <c r="A436" s="16" t="str">
        <f ca="1">IFERROR(__xludf.DUMMYFUNCTION("""COMPUTED_VALUE"""),"PR1-L USA")</f>
        <v>PR1-L USA</v>
      </c>
      <c r="B436" s="87" t="str">
        <f ca="1">IFERROR(__xludf.DUMMYFUNCTION("""COMPUTED_VALUE"""),"Крепление Vortex Pro Series 25,4 mm кольца на планку weaver,низкие, PR1-L USA")</f>
        <v>Крепление Vortex Pro Series 25,4 mm кольца на планку weaver,низкие, PR1-L USA</v>
      </c>
      <c r="C436" s="20">
        <v>15200</v>
      </c>
      <c r="D436" s="15"/>
    </row>
    <row r="437" spans="1:4" ht="33" x14ac:dyDescent="0.2">
      <c r="A437" s="16" t="str">
        <f ca="1">IFERROR(__xludf.DUMMYFUNCTION("""COMPUTED_VALUE"""),"RING-H USA")</f>
        <v>RING-H USA</v>
      </c>
      <c r="B437" s="87" t="str">
        <f ca="1">IFERROR(__xludf.DUMMYFUNCTION("""COMPUTED_VALUE"""),"Крепление Vortex HIGH MOUNT 25,4 mm кольца на планку weaver,высокие, RING-H USA")</f>
        <v>Крепление Vortex HIGH MOUNT 25,4 mm кольца на планку weaver,высокие, RING-H USA</v>
      </c>
      <c r="C437" s="38">
        <v>7000</v>
      </c>
      <c r="D437" s="15"/>
    </row>
    <row r="438" spans="1:4" ht="18.75" x14ac:dyDescent="0.2">
      <c r="A438" s="112" t="str">
        <f ca="1">IFERROR(__xludf.DUMMYFUNCTION("""COMPUTED_VALUE"""),"КРЕПЛЕНИЯ ДЛЯ DIGISIGHT,SIGHTLINE от PULSAR")</f>
        <v>КРЕПЛЕНИЯ ДЛЯ DIGISIGHT,SIGHTLINE от PULSAR</v>
      </c>
      <c r="B438" s="113"/>
      <c r="C438" s="39"/>
      <c r="D438" s="15"/>
    </row>
    <row r="439" spans="1:4" ht="18.75" x14ac:dyDescent="0.2">
      <c r="A439" s="16" t="str">
        <f ca="1">IFERROR(__xludf.DUMMYFUNCTION("""COMPUTED_VALUE"""),"B0025")</f>
        <v>B0025</v>
      </c>
      <c r="B439" s="87" t="str">
        <f ca="1">IFERROR(__xludf.DUMMYFUNCTION("""COMPUTED_VALUE"""),"Кронштейн Weaver к прицелу Digisight")</f>
        <v>Кронштейн Weaver к прицелу Digisight</v>
      </c>
      <c r="C439" s="21">
        <v>6000</v>
      </c>
      <c r="D439" s="15"/>
    </row>
    <row r="440" spans="1:4" ht="16.5" x14ac:dyDescent="0.25">
      <c r="A440" s="16" t="str">
        <f ca="1">IFERROR(__xludf.DUMMYFUNCTION("""COMPUTED_VALUE"""),"MAKDIG")</f>
        <v>MAKDIG</v>
      </c>
      <c r="B440" s="87" t="str">
        <f ca="1">IFERROR(__xludf.DUMMYFUNCTION("""COMPUTED_VALUE"""),"Кронштейн адаптер МАК к прицелу Digisight")</f>
        <v>Кронштейн адаптер МАК к прицелу Digisight</v>
      </c>
      <c r="C440" s="21">
        <v>6000</v>
      </c>
      <c r="D440" s="18"/>
    </row>
    <row r="441" spans="1:4" ht="16.5" x14ac:dyDescent="0.25">
      <c r="A441" s="112" t="str">
        <f ca="1">IFERROR(__xludf.DUMMYFUNCTION("""COMPUTED_VALUE"""),"КРЕПЛЕНИЯ ДЛЯ ПРИЦЕЛОВ DEDAL")</f>
        <v>КРЕПЛЕНИЯ ДЛЯ ПРИЦЕЛОВ DEDAL</v>
      </c>
      <c r="B441" s="113"/>
      <c r="C441" s="37"/>
      <c r="D441" s="18"/>
    </row>
    <row r="442" spans="1:4" ht="16.5" x14ac:dyDescent="0.25">
      <c r="A442" s="16" t="str">
        <f ca="1">IFERROR(__xludf.DUMMYFUNCTION("""COMPUTED_VALUE"""),"S480450")</f>
        <v>S480450</v>
      </c>
      <c r="B442" s="87" t="str">
        <f ca="1">IFERROR(__xludf.DUMMYFUNCTION("""COMPUTED_VALUE"""),"Крепление SP (европризмы к приц.Dedal)")</f>
        <v>Крепление SP (европризмы к приц.Dedal)</v>
      </c>
      <c r="C442" s="20">
        <v>2600</v>
      </c>
      <c r="D442" s="18"/>
    </row>
    <row r="443" spans="1:4" ht="18.75" x14ac:dyDescent="0.2">
      <c r="A443" s="112" t="str">
        <f ca="1">IFERROR(__xludf.DUMMYFUNCTION("""COMPUTED_VALUE"""),"КРЕПЛЕНИЯ ВОМЗ ДЛЯ ОПТИЧЕСКИХ ПРИЦЕЛОВ")</f>
        <v>КРЕПЛЕНИЯ ВОМЗ ДЛЯ ОПТИЧЕСКИХ ПРИЦЕЛОВ</v>
      </c>
      <c r="B443" s="113"/>
      <c r="C443" s="39"/>
      <c r="D443" s="15"/>
    </row>
    <row r="444" spans="1:4" ht="18.75" x14ac:dyDescent="0.2">
      <c r="A444" s="16" t="str">
        <f ca="1">IFERROR(__xludf.DUMMYFUNCTION("""COMPUTED_VALUE"""),"RINGP254M")</f>
        <v>RINGP254M</v>
      </c>
      <c r="B444" s="87" t="str">
        <f ca="1">IFERROR(__xludf.DUMMYFUNCTION("""COMPUTED_VALUE"""),"Кольца на PICATINNY 25,4 mm (средние алюминиевые)")</f>
        <v>Кольца на PICATINNY 25,4 mm (средние алюминиевые)</v>
      </c>
      <c r="C444" s="49">
        <v>1100</v>
      </c>
      <c r="D444" s="15"/>
    </row>
    <row r="445" spans="1:4" ht="18.75" x14ac:dyDescent="0.2">
      <c r="A445" s="16" t="str">
        <f ca="1">IFERROR(__xludf.DUMMYFUNCTION("""COMPUTED_VALUE"""),"RINGP254H")</f>
        <v>RINGP254H</v>
      </c>
      <c r="B445" s="87" t="str">
        <f ca="1">IFERROR(__xludf.DUMMYFUNCTION("""COMPUTED_VALUE"""),"Кольца на PICATINNY 25,4 mm (высокие алюминиевые)")</f>
        <v>Кольца на PICATINNY 25,4 mm (высокие алюминиевые)</v>
      </c>
      <c r="C445" s="21">
        <v>1100</v>
      </c>
      <c r="D445" s="15"/>
    </row>
    <row r="446" spans="1:4" ht="18.75" x14ac:dyDescent="0.2">
      <c r="A446" s="16" t="str">
        <f ca="1">IFERROR(__xludf.DUMMYFUNCTION("""COMPUTED_VALUE"""),"M25427")</f>
        <v>M25427</v>
      </c>
      <c r="B446" s="87" t="str">
        <f ca="1">IFERROR(__xludf.DUMMYFUNCTION("""COMPUTED_VALUE"""),"Кронштейн ТИП II weaver/ кольца 25,4мм, высота 27мм, сталь")</f>
        <v>Кронштейн ТИП II weaver/ кольца 25,4мм, высота 27мм, сталь</v>
      </c>
      <c r="C446" s="21">
        <v>1500</v>
      </c>
      <c r="D446" s="15"/>
    </row>
    <row r="447" spans="1:4" ht="18.75" x14ac:dyDescent="0.2">
      <c r="A447" s="16" t="str">
        <f ca="1">IFERROR(__xludf.DUMMYFUNCTION("""COMPUTED_VALUE"""),"MVIIBARS")</f>
        <v>MVIIBARS</v>
      </c>
      <c r="B447" s="87" t="str">
        <f ca="1">IFERROR(__xludf.DUMMYFUNCTION("""COMPUTED_VALUE"""),"Кронштейн Тип VII Барс/Лось, алюминий")</f>
        <v>Кронштейн Тип VII Барс/Лось, алюминий</v>
      </c>
      <c r="C447" s="48">
        <v>1600</v>
      </c>
      <c r="D447" s="15"/>
    </row>
    <row r="448" spans="1:4" ht="16.5" x14ac:dyDescent="0.25">
      <c r="A448" s="16" t="str">
        <f ca="1">IFERROR(__xludf.DUMMYFUNCTION("""COMPUTED_VALUE"""),"305659.003")</f>
        <v>305659.003</v>
      </c>
      <c r="B448" s="87" t="str">
        <f ca="1">IFERROR(__xludf.DUMMYFUNCTION("""COMPUTED_VALUE"""),"Планка направляющая с верхней базой Ласточкин хвост , ВОМЗ (305659.003)")</f>
        <v>Планка направляющая с верхней базой Ласточкин хвост , ВОМЗ (305659.003)</v>
      </c>
      <c r="C448" s="21">
        <v>1300</v>
      </c>
      <c r="D448" s="18"/>
    </row>
    <row r="449" spans="1:4" ht="18.75" x14ac:dyDescent="0.2">
      <c r="A449" s="112" t="str">
        <f ca="1">IFERROR(__xludf.DUMMYFUNCTION("""COMPUTED_VALUE"""),"КРЕПЛЕНИЯ И АКСЕССУАРЫ ЭСТ ДЛЯ ОПТИЧЕСКИХ ПРИЦЕЛОВ")</f>
        <v>КРЕПЛЕНИЯ И АКСЕССУАРЫ ЭСТ ДЛЯ ОПТИЧЕСКИХ ПРИЦЕЛОВ</v>
      </c>
      <c r="B449" s="113"/>
      <c r="C449" s="39"/>
      <c r="D449" s="15"/>
    </row>
    <row r="450" spans="1:4" ht="18.75" x14ac:dyDescent="0.2">
      <c r="A450" s="16" t="str">
        <f ca="1">IFERROR(__xludf.DUMMYFUNCTION("""COMPUTED_VALUE"""),"M54T")</f>
        <v>M54T</v>
      </c>
      <c r="B450" s="87" t="str">
        <f ca="1">IFERROR(__xludf.DUMMYFUNCTION("""COMPUTED_VALUE"""),"Кронштейн «Т» Тайга 5,4мм рамный сталь")</f>
        <v>Кронштейн «Т» Тайга 5,4мм рамный сталь</v>
      </c>
      <c r="C450" s="20">
        <v>1650</v>
      </c>
      <c r="D450" s="15"/>
    </row>
    <row r="451" spans="1:4" ht="18.75" x14ac:dyDescent="0.2">
      <c r="A451" s="16" t="str">
        <f ca="1">IFERROR(__xludf.DUMMYFUNCTION("""COMPUTED_VALUE"""),"P SA")</f>
        <v>P SA</v>
      </c>
      <c r="B451" s="87" t="str">
        <f ca="1">IFERROR(__xludf.DUMMYFUNCTION("""COMPUTED_VALUE"""),"Планка боковая ""САЙГА""")</f>
        <v>Планка боковая "САЙГА"</v>
      </c>
      <c r="C451" s="48">
        <v>4500</v>
      </c>
      <c r="D451" s="52"/>
    </row>
    <row r="452" spans="1:4" ht="16.5" x14ac:dyDescent="0.25">
      <c r="A452" s="16" t="str">
        <f ca="1">IFERROR(__xludf.DUMMYFUNCTION("""COMPUTED_VALUE"""),"LEPPER")</f>
        <v>LEPPER</v>
      </c>
      <c r="B452" s="87" t="str">
        <f ca="1">IFERROR(__xludf.DUMMYFUNCTION("""COMPUTED_VALUE"""),"Стойка ЛЭП; переход с европризма на призму ""ласточкин хвост""")</f>
        <v>Стойка ЛЭП; переход с европризма на призму "ласточкин хвост"</v>
      </c>
      <c r="C452" s="21">
        <v>5000</v>
      </c>
      <c r="D452" s="18"/>
    </row>
    <row r="453" spans="1:4" ht="18.75" x14ac:dyDescent="0.2">
      <c r="A453" s="115" t="str">
        <f ca="1">IFERROR(__xludf.DUMMYFUNCTION("""COMPUTED_VALUE"""),"КРЕПЛЕНИЯ И АКСЕССУАРЫ ЗЕНИТ-БЕЛОМО ДЛЯ ОПТИЧЕСКИХ ПРИЦЕЛОВ")</f>
        <v>КРЕПЛЕНИЯ И АКСЕССУАРЫ ЗЕНИТ-БЕЛОМО ДЛЯ ОПТИЧЕСКИХ ПРИЦЕЛОВ</v>
      </c>
      <c r="B453" s="113"/>
      <c r="C453" s="60"/>
      <c r="D453" s="15"/>
    </row>
    <row r="454" spans="1:4" ht="33" x14ac:dyDescent="0.25">
      <c r="A454" s="61" t="str">
        <f ca="1">IFERROR(__xludf.DUMMYFUNCTION("""COMPUTED_VALUE"""),"MBELOMO9180")</f>
        <v>MBELOMO9180</v>
      </c>
      <c r="B454" s="87" t="str">
        <f ca="1">IFERROR(__xludf.DUMMYFUNCTION("""COMPUTED_VALUE"""),"Кронштейн боковой с планкой Weaver, быстросъемный универсальный Сайга/Вепрь/Тигр/СКС Зенит-Беломо")</f>
        <v>Кронштейн боковой с планкой Weaver, быстросъемный универсальный Сайга/Вепрь/Тигр/СКС Зенит-Беломо</v>
      </c>
      <c r="C454" s="49">
        <v>7000</v>
      </c>
      <c r="D454" s="62"/>
    </row>
    <row r="455" spans="1:4" ht="16.5" x14ac:dyDescent="0.25">
      <c r="A455" s="63" t="str">
        <f ca="1">IFERROR(__xludf.DUMMYFUNCTION("""COMPUTED_VALUE"""),"CR31")</f>
        <v>CR31</v>
      </c>
      <c r="B455" s="100" t="str">
        <f ca="1">IFERROR(__xludf.DUMMYFUNCTION("""COMPUTED_VALUE"""),"Крышка откидная к прицелу Ø 31мм")</f>
        <v>Крышка откидная к прицелу Ø 31мм</v>
      </c>
      <c r="C455" s="21">
        <v>250</v>
      </c>
      <c r="D455" s="18"/>
    </row>
    <row r="456" spans="1:4" ht="18.75" x14ac:dyDescent="0.2">
      <c r="A456" s="112" t="str">
        <f ca="1">IFERROR(__xludf.DUMMYFUNCTION("""COMPUTED_VALUE"""),"КРЕПЛЕНИЯ ФИРМЫ LEAPERS")</f>
        <v>КРЕПЛЕНИЯ ФИРМЫ LEAPERS</v>
      </c>
      <c r="B456" s="113"/>
      <c r="C456" s="37"/>
      <c r="D456" s="15"/>
    </row>
    <row r="457" spans="1:4" ht="33" x14ac:dyDescent="0.25">
      <c r="A457" s="16" t="str">
        <f ca="1">IFERROR(__xludf.DUMMYFUNCTION("""COMPUTED_VALUE"""),"MNT-DNT06")</f>
        <v>MNT-DNT06</v>
      </c>
      <c r="B457" s="87" t="str">
        <f ca="1">IFERROR(__xludf.DUMMYFUNCTION("""COMPUTED_VALUE"""),"Адаптер Leapers UTG Picatinny на призму 9-11мм с наклоном(10"" at 30Yds) MNT-DNT06")</f>
        <v>Адаптер Leapers UTG Picatinny на призму 9-11мм с наклоном(10" at 30Yds) MNT-DNT06</v>
      </c>
      <c r="C457" s="49">
        <v>2100</v>
      </c>
      <c r="D457" s="64"/>
    </row>
    <row r="458" spans="1:4" ht="18.75" x14ac:dyDescent="0.2">
      <c r="A458" s="16" t="str">
        <f ca="1">IFERROR(__xludf.DUMMYFUNCTION("""COMPUTED_VALUE"""),"RGWM-25М4")</f>
        <v>RGWM-25М4</v>
      </c>
      <c r="B458" s="87" t="str">
        <f ca="1">IFERROR(__xludf.DUMMYFUNCTION("""COMPUTED_VALUE"""),"Кольца Leapers AccuShot 25,4 мм на WEAVER, STM, средние RGWM-25М4")</f>
        <v>Кольца Leapers AccuShot 25,4 мм на WEAVER, STM, средние RGWM-25М4</v>
      </c>
      <c r="C458" s="48">
        <v>2100</v>
      </c>
      <c r="D458" s="52"/>
    </row>
    <row r="459" spans="1:4" ht="18.75" x14ac:dyDescent="0.25">
      <c r="A459" s="27" t="str">
        <f ca="1">IFERROR(__xludf.DUMMYFUNCTION("""COMPUTED_VALUE"""),"RGPM-25М4")</f>
        <v>RGPM-25М4</v>
      </c>
      <c r="B459" s="96" t="str">
        <f ca="1">IFERROR(__xludf.DUMMYFUNCTION("""COMPUTED_VALUE"""),"Кольца Leapers AccuShot 25,4 мм, на призму 10-12 мм, средние RGPM-25М4")</f>
        <v>Кольца Leapers AccuShot 25,4 мм, на призму 10-12 мм, средние RGPM-25М4</v>
      </c>
      <c r="C459" s="48">
        <v>2100</v>
      </c>
      <c r="D459" s="15"/>
    </row>
    <row r="460" spans="1:4" ht="18.75" x14ac:dyDescent="0.2">
      <c r="A460" s="16" t="str">
        <f ca="1">IFERROR(__xludf.DUMMYFUNCTION("""COMPUTED_VALUE"""),"RGPM-25Н4")</f>
        <v>RGPM-25Н4</v>
      </c>
      <c r="B460" s="87" t="str">
        <f ca="1">IFERROR(__xludf.DUMMYFUNCTION("""COMPUTED_VALUE"""),"Кольца Leapers AccuShot 25,4 мм, на призму 10-12 мм, высокие RGPM-25Н4")</f>
        <v>Кольца Leapers AccuShot 25,4 мм, на призму 10-12 мм, высокие RGPM-25Н4</v>
      </c>
      <c r="C460" s="48">
        <v>2100</v>
      </c>
      <c r="D460" s="15"/>
    </row>
    <row r="461" spans="1:4" ht="18.75" x14ac:dyDescent="0.2">
      <c r="A461" s="16" t="str">
        <f ca="1">IFERROR(__xludf.DUMMYFUNCTION("""COMPUTED_VALUE"""),"RGPM-30H4")</f>
        <v>RGPM-30H4</v>
      </c>
      <c r="B461" s="87" t="str">
        <f ca="1">IFERROR(__xludf.DUMMYFUNCTION("""COMPUTED_VALUE"""),"Кольца Leapers AccuShot 30мм, на призму 10-12 мм, высокие RGPM-30H4")</f>
        <v>Кольца Leapers AccuShot 30мм, на призму 10-12 мм, высокие RGPM-30H4</v>
      </c>
      <c r="C461" s="48">
        <v>2100</v>
      </c>
      <c r="D461" s="15"/>
    </row>
    <row r="462" spans="1:4" ht="33" x14ac:dyDescent="0.25">
      <c r="A462" s="16" t="str">
        <f ca="1">IFERROR(__xludf.DUMMYFUNCTION("""COMPUTED_VALUE"""),"RQ2D1204")</f>
        <v>RQ2D1204</v>
      </c>
      <c r="B462" s="87" t="str">
        <f ca="1">IFERROR(__xludf.DUMMYFUNCTION("""COMPUTED_VALUE"""),"Кольца Leapers UTG 25,4 мм быстросъемные на 11 мм с рычажным зажимом, низкие RQ2D1204")</f>
        <v>Кольца Leapers UTG 25,4 мм быстросъемные на 11 мм с рычажным зажимом, низкие RQ2D1204</v>
      </c>
      <c r="C462" s="48">
        <v>4200</v>
      </c>
      <c r="D462" s="18"/>
    </row>
    <row r="463" spans="1:4" ht="33" x14ac:dyDescent="0.2">
      <c r="A463" s="16" t="str">
        <f ca="1">IFERROR(__xludf.DUMMYFUNCTION("""COMPUTED_VALUE"""),"RQ2W3224")</f>
        <v>RQ2W3224</v>
      </c>
      <c r="B463" s="87" t="str">
        <f ca="1">IFERROR(__xludf.DUMMYFUNCTION("""COMPUTED_VALUE"""),"Кольца Leapers UTG 30 мм быстросъемные на Picatinny с рычажным зажимом, высокие RQ2W3224")</f>
        <v>Кольца Leapers UTG 30 мм быстросъемные на Picatinny с рычажным зажимом, высокие RQ2W3224</v>
      </c>
      <c r="C463" s="48">
        <v>4200</v>
      </c>
      <c r="D463" s="52"/>
    </row>
    <row r="464" spans="1:4" ht="33" x14ac:dyDescent="0.2">
      <c r="A464" s="16" t="str">
        <f ca="1">IFERROR(__xludf.DUMMYFUNCTION("""COMPUTED_VALUE"""),"RG2W1204")</f>
        <v>RG2W1204</v>
      </c>
      <c r="B464" s="87" t="str">
        <f ca="1">IFERROR(__xludf.DUMMYFUNCTION("""COMPUTED_VALUE"""),"Кольца Leapers UTG 25,4 мм на Weaver с винтовым зажимом, высокие 2 винта RG2W1204")</f>
        <v>Кольца Leapers UTG 25,4 мм на Weaver с винтовым зажимом, высокие 2 винта RG2W1204</v>
      </c>
      <c r="C464" s="21">
        <v>3500</v>
      </c>
      <c r="D464" s="15"/>
    </row>
    <row r="465" spans="1:4" ht="33" x14ac:dyDescent="0.2">
      <c r="A465" s="16" t="str">
        <f ca="1">IFERROR(__xludf.DUMMYFUNCTION("""COMPUTED_VALUE"""),"RG2W1206")</f>
        <v>RG2W1206</v>
      </c>
      <c r="B465" s="87" t="str">
        <f ca="1">IFERROR(__xludf.DUMMYFUNCTION("""COMPUTED_VALUE"""),"Кольца Leapers UTG 25,4 мм на Weaver с винтовым зажимом, высокие 3 винта RG2W1206")</f>
        <v>Кольца Leapers UTG 25,4 мм на Weaver с винтовым зажимом, высокие 3 винта RG2W1206</v>
      </c>
      <c r="C465" s="21">
        <v>3500</v>
      </c>
      <c r="D465" s="15"/>
    </row>
    <row r="466" spans="1:4" ht="18.75" x14ac:dyDescent="0.2">
      <c r="A466" s="65" t="str">
        <f ca="1">IFERROR(__xludf.DUMMYFUNCTION("""COMPUTED_VALUE"""),"RG2W1104")</f>
        <v>RG2W1104</v>
      </c>
      <c r="B466" s="101" t="str">
        <f ca="1">IFERROR(__xludf.DUMMYFUNCTION("""COMPUTED_VALUE"""),"Кольца Leapers UTG 25,4 мм на Weaver с винтовым зажимом, низкие RG2W1104")</f>
        <v>Кольца Leapers UTG 25,4 мм на Weaver с винтовым зажимом, низкие RG2W1104</v>
      </c>
      <c r="C466" s="66">
        <v>3500</v>
      </c>
      <c r="D466" s="67"/>
    </row>
    <row r="467" spans="1:4" ht="33" x14ac:dyDescent="0.2">
      <c r="A467" s="68" t="str">
        <f ca="1">IFERROR(__xludf.DUMMYFUNCTION("""COMPUTED_VALUE"""),"MNT-BR005")</f>
        <v>MNT-BR005</v>
      </c>
      <c r="B467" s="102" t="str">
        <f ca="1">IFERROR(__xludf.DUMMYFUNCTION("""COMPUTED_VALUE"""),"Универсальная трехсторонняя база WEAVER для установки на ствол, пять проточек MNT-BR005")</f>
        <v>Универсальная трехсторонняя база WEAVER для установки на ствол, пять проточек MNT-BR005</v>
      </c>
      <c r="C467" s="68" t="s">
        <v>15</v>
      </c>
      <c r="D467" s="67"/>
    </row>
    <row r="468" spans="1:4" ht="18.75" x14ac:dyDescent="0.2">
      <c r="A468" s="112" t="str">
        <f ca="1">IFERROR(__xludf.DUMMYFUNCTION("""COMPUTED_VALUE"""),"КРЕПЛЕНИЯ И АКСЕССУАРЫ (КИТАЙ) ДЛЯ ОПТИЧЕСКИХ ПРИЦЕЛОВ")</f>
        <v>КРЕПЛЕНИЯ И АКСЕССУАРЫ (КИТАЙ) ДЛЯ ОПТИЧЕСКИХ ПРИЦЕЛОВ</v>
      </c>
      <c r="B468" s="113"/>
      <c r="C468" s="69"/>
      <c r="D468" s="67"/>
    </row>
    <row r="469" spans="1:4" ht="18.75" x14ac:dyDescent="0.25">
      <c r="A469" s="70" t="str">
        <f ca="1">IFERROR(__xludf.DUMMYFUNCTION("""COMPUTED_VALUE"""),"M30CHN")</f>
        <v>M30CHN</v>
      </c>
      <c r="B469" s="98" t="str">
        <f ca="1">IFERROR(__xludf.DUMMYFUNCTION("""COMPUTED_VALUE"""),"Кронштейн Weaver рамный, высокий Ø 30 мм")</f>
        <v>Кронштейн Weaver рамный, высокий Ø 30 мм</v>
      </c>
      <c r="C469" s="49">
        <v>850</v>
      </c>
      <c r="D469" s="67"/>
    </row>
    <row r="470" spans="1:4" ht="18.75" x14ac:dyDescent="0.2">
      <c r="A470" s="71">
        <f ca="1">IFERROR(__xludf.DUMMYFUNCTION("""COMPUTED_VALUE"""),-184080)</f>
        <v>-184080</v>
      </c>
      <c r="B470" s="87" t="str">
        <f ca="1">IFERROR(__xludf.DUMMYFUNCTION("""COMPUTED_VALUE"""),"Кронштейн Weaver рамный, высокий Ø 30 мм, мод. 1396-1")</f>
        <v>Кронштейн Weaver рамный, высокий Ø 30 мм, мод. 1396-1</v>
      </c>
      <c r="C470" s="21">
        <v>800</v>
      </c>
      <c r="D470" s="67"/>
    </row>
    <row r="471" spans="1:4" ht="18.75" x14ac:dyDescent="0.2">
      <c r="A471" s="71">
        <f ca="1">IFERROR(__xludf.DUMMYFUNCTION("""COMPUTED_VALUE"""),-183349)</f>
        <v>-183349</v>
      </c>
      <c r="B471" s="87" t="str">
        <f ca="1">IFERROR(__xludf.DUMMYFUNCTION("""COMPUTED_VALUE"""),"Кронштейн Weaver рамный, низкий Ø 30 мм, мод. 1398-1")</f>
        <v>Кронштейн Weaver рамный, низкий Ø 30 мм, мод. 1398-1</v>
      </c>
      <c r="C471" s="48">
        <v>800</v>
      </c>
      <c r="D471" s="67"/>
    </row>
    <row r="472" spans="1:4" ht="33" x14ac:dyDescent="0.2">
      <c r="A472" s="70" t="str">
        <f ca="1">IFERROR(__xludf.DUMMYFUNCTION("""COMPUTED_VALUE"""),"Т-0021")</f>
        <v>Т-0021</v>
      </c>
      <c r="B472" s="87" t="str">
        <f ca="1">IFERROR(__xludf.DUMMYFUNCTION("""COMPUTED_VALUE"""),"Крепление переходное Weaver - Weaver с боковым выносом под углом 45 град., мод. Т-0021")</f>
        <v>Крепление переходное Weaver - Weaver с боковым выносом под углом 45 град., мод. Т-0021</v>
      </c>
      <c r="C472" s="48">
        <v>600</v>
      </c>
      <c r="D472" s="67"/>
    </row>
    <row r="473" spans="1:4" ht="33" x14ac:dyDescent="0.2">
      <c r="A473" s="72" t="str">
        <f ca="1">IFERROR(__xludf.DUMMYFUNCTION("""COMPUTED_VALUE"""),"Т-2008")</f>
        <v>Т-2008</v>
      </c>
      <c r="B473" s="87" t="str">
        <f ca="1">IFERROR(__xludf.DUMMYFUNCTION("""COMPUTED_VALUE"""),"Крепление переходное Weaver для доп. оборудования Ø 25,4 мм, с боковым выносом, мод. Т-2008")</f>
        <v>Крепление переходное Weaver для доп. оборудования Ø 25,4 мм, с боковым выносом, мод. Т-2008</v>
      </c>
      <c r="C473" s="48">
        <v>800</v>
      </c>
      <c r="D473" s="67"/>
    </row>
    <row r="474" spans="1:4" ht="18.75" x14ac:dyDescent="0.25">
      <c r="A474" s="65">
        <f ca="1">IFERROR(__xludf.DUMMYFUNCTION("""COMPUTED_VALUE"""),15)</f>
        <v>15</v>
      </c>
      <c r="B474" s="90" t="str">
        <f ca="1">IFERROR(__xludf.DUMMYFUNCTION("""COMPUTED_VALUE"""),"Крепление переходное Weaver -Weaver, мод. 15")</f>
        <v>Крепление переходное Weaver -Weaver, мод. 15</v>
      </c>
      <c r="C474" s="48">
        <v>800</v>
      </c>
      <c r="D474" s="67"/>
    </row>
    <row r="475" spans="1:4" ht="18.75" x14ac:dyDescent="0.25">
      <c r="A475" s="70" t="str">
        <f ca="1">IFERROR(__xludf.DUMMYFUNCTION("""COMPUTED_VALUE""")," 207-9(709)")</f>
        <v xml:space="preserve"> 207-9(709)</v>
      </c>
      <c r="B475" s="98" t="str">
        <f ca="1">IFERROR(__xludf.DUMMYFUNCTION("""COMPUTED_VALUE"""),"Крепление переходное Ласт. хвост-Ласт. хвост, монолит, мод. 207-9(709)")</f>
        <v>Крепление переходное Ласт. хвост-Ласт. хвост, монолит, мод. 207-9(709)</v>
      </c>
      <c r="C475" s="48">
        <v>800</v>
      </c>
      <c r="D475" s="67"/>
    </row>
    <row r="476" spans="1:4" ht="18.75" x14ac:dyDescent="0.25">
      <c r="A476" s="70">
        <f ca="1">IFERROR(__xludf.DUMMYFUNCTION("""COMPUTED_VALUE"""),303)</f>
        <v>303</v>
      </c>
      <c r="B476" s="103" t="str">
        <f ca="1">IFERROR(__xludf.DUMMYFUNCTION("""COMPUTED_VALUE"""),"Крепление монолитное Weaver для установки компактных ПО, Ø 25,4 мм, мод. 303")</f>
        <v>Крепление монолитное Weaver для установки компактных ПО, Ø 25,4 мм, мод. 303</v>
      </c>
      <c r="C476" s="48">
        <v>600</v>
      </c>
      <c r="D476" s="67"/>
    </row>
    <row r="477" spans="1:4" ht="33" x14ac:dyDescent="0.25">
      <c r="A477" s="70">
        <f ca="1">IFERROR(__xludf.DUMMYFUNCTION("""COMPUTED_VALUE"""),700)</f>
        <v>700</v>
      </c>
      <c r="B477" s="104" t="str">
        <f ca="1">IFERROR(__xludf.DUMMYFUNCTION("""COMPUTED_VALUE"""),"Крепление кольца Ласточкин хвост, универсальное, Ø 25,4 / 30 мм с доп. планкой Weaver, мод. 700")</f>
        <v>Крепление кольца Ласточкин хвост, универсальное, Ø 25,4 / 30 мм с доп. планкой Weaver, мод. 700</v>
      </c>
      <c r="C477" s="48">
        <v>600</v>
      </c>
      <c r="D477" s="67"/>
    </row>
    <row r="478" spans="1:4" ht="18.75" x14ac:dyDescent="0.2">
      <c r="A478" s="70" t="str">
        <f ca="1">IFERROR(__xludf.DUMMYFUNCTION("""COMPUTED_VALUE""")," 8902-25,4")</f>
        <v xml:space="preserve"> 8902-25,4</v>
      </c>
      <c r="B478" s="87" t="str">
        <f ca="1">IFERROR(__xludf.DUMMYFUNCTION("""COMPUTED_VALUE"""),"Крепление кольца Weaver, 25,4 мм, низкое, мод. 8902-25,4")</f>
        <v>Крепление кольца Weaver, 25,4 мм, низкое, мод. 8902-25,4</v>
      </c>
      <c r="C478" s="48">
        <v>500</v>
      </c>
      <c r="D478" s="67"/>
    </row>
    <row r="479" spans="1:4" ht="18.75" x14ac:dyDescent="0.2">
      <c r="A479" s="70" t="str">
        <f ca="1">IFERROR(__xludf.DUMMYFUNCTION("""COMPUTED_VALUE""")," 8902-15")</f>
        <v xml:space="preserve"> 8902-15</v>
      </c>
      <c r="B479" s="87" t="str">
        <f ca="1">IFERROR(__xludf.DUMMYFUNCTION("""COMPUTED_VALUE"""),"Крепление на планку Weaver для доп. оборудования 14 мм, мод. 8902-15")</f>
        <v>Крепление на планку Weaver для доп. оборудования 14 мм, мод. 8902-15</v>
      </c>
      <c r="C479" s="48">
        <v>500</v>
      </c>
      <c r="D479" s="67"/>
    </row>
    <row r="480" spans="1:4" ht="18.75" x14ac:dyDescent="0.2">
      <c r="A480" s="70" t="str">
        <f ca="1">IFERROR(__xludf.DUMMYFUNCTION("""COMPUTED_VALUE""")," NR5")</f>
        <v xml:space="preserve"> NR5</v>
      </c>
      <c r="B480" s="87" t="str">
        <f ca="1">IFERROR(__xludf.DUMMYFUNCTION("""COMPUTED_VALUE"""),"Крепление на планку Weaver для доп. оборудования, 30 мм, мод. NR5")</f>
        <v>Крепление на планку Weaver для доп. оборудования, 30 мм, мод. NR5</v>
      </c>
      <c r="C480" s="48">
        <v>700</v>
      </c>
      <c r="D480" s="67"/>
    </row>
    <row r="481" spans="1:4" ht="18.75" x14ac:dyDescent="0.2">
      <c r="A481" s="70" t="str">
        <f ca="1">IFERROR(__xludf.DUMMYFUNCTION("""COMPUTED_VALUE""")," QQ")</f>
        <v xml:space="preserve"> QQ</v>
      </c>
      <c r="B481" s="87" t="str">
        <f ca="1">IFERROR(__xludf.DUMMYFUNCTION("""COMPUTED_VALUE"""),"Крепление переходное с 25,4 мм на 18 мм, мод. QQ")</f>
        <v>Крепление переходное с 25,4 мм на 18 мм, мод. QQ</v>
      </c>
      <c r="C481" s="21">
        <v>400</v>
      </c>
      <c r="D481" s="67"/>
    </row>
    <row r="482" spans="1:4" ht="18.75" x14ac:dyDescent="0.2">
      <c r="A482" s="73" t="str">
        <f ca="1">IFERROR(__xludf.DUMMYFUNCTION("""COMPUTED_VALUE"""),"QQ-2")</f>
        <v>QQ-2</v>
      </c>
      <c r="B482" s="87" t="str">
        <f ca="1">IFERROR(__xludf.DUMMYFUNCTION("""COMPUTED_VALUE"""),"Крепление переходное с 25,4 мм на 25,4 мм с планкой Weaver, мод. QQ-2")</f>
        <v>Крепление переходное с 25,4 мм на 25,4 мм с планкой Weaver, мод. QQ-2</v>
      </c>
      <c r="C482" s="66">
        <v>500</v>
      </c>
      <c r="D482" s="67"/>
    </row>
    <row r="483" spans="1:4" ht="18.75" x14ac:dyDescent="0.2">
      <c r="A483" s="73" t="str">
        <f ca="1">IFERROR(__xludf.DUMMYFUNCTION("""COMPUTED_VALUE"""),"LEVEL254")</f>
        <v>LEVEL254</v>
      </c>
      <c r="B483" s="87" t="str">
        <f ca="1">IFERROR(__xludf.DUMMYFUNCTION("""COMPUTED_VALUE"""),"Уровень для прицела Ø 25,4 мм.")</f>
        <v>Уровень для прицела Ø 25,4 мм.</v>
      </c>
      <c r="C483" s="66">
        <v>1300</v>
      </c>
      <c r="D483" s="67"/>
    </row>
    <row r="484" spans="1:4" ht="18.75" x14ac:dyDescent="0.2">
      <c r="A484" s="68" t="str">
        <f ca="1">IFERROR(__xludf.DUMMYFUNCTION("""COMPUTED_VALUE"""),"LEVEL30")</f>
        <v>LEVEL30</v>
      </c>
      <c r="B484" s="102" t="str">
        <f ca="1">IFERROR(__xludf.DUMMYFUNCTION("""COMPUTED_VALUE"""),"Уровень для прицела Ø 30 мм.")</f>
        <v>Уровень для прицела Ø 30 мм.</v>
      </c>
      <c r="C484" s="66">
        <v>1300</v>
      </c>
      <c r="D484" s="67"/>
    </row>
    <row r="485" spans="1:4" ht="18.75" x14ac:dyDescent="0.2">
      <c r="A485" s="115" t="str">
        <f ca="1">IFERROR(__xludf.DUMMYFUNCTION("""COMPUTED_VALUE""")," КРЕПЛЕНИЯ ФИРМЫ МАК")</f>
        <v xml:space="preserve"> КРЕПЛЕНИЯ ФИРМЫ МАК</v>
      </c>
      <c r="B485" s="113"/>
      <c r="C485" s="74"/>
      <c r="D485" s="67"/>
    </row>
    <row r="486" spans="1:4" ht="18.75" x14ac:dyDescent="0.2">
      <c r="A486" s="115" t="str">
        <f ca="1">IFERROR(__xludf.DUMMYFUNCTION("""COMPUTED_VALUE"""),"БЫСТРОСЪЕМНЫЕ РАЗДЕЛЬНЫЕ ПОВОРОТНЫЕ КРОНШТЕЙНЫ С РОТАЦИОННЫМ ЗАЖИМОМ, С ОСНОВАНИЕМ. ВЫСОТА УСТАНОВКИ 17ММ")</f>
        <v>БЫСТРОСЪЕМНЫЕ РАЗДЕЛЬНЫЕ ПОВОРОТНЫЕ КРОНШТЕЙНЫ С РОТАЦИОННЫМ ЗАЖИМОМ, С ОСНОВАНИЕМ. ВЫСОТА УСТАНОВКИ 17ММ</v>
      </c>
      <c r="B486" s="113"/>
      <c r="C486" s="39"/>
      <c r="D486" s="67"/>
    </row>
    <row r="487" spans="1:4" ht="18.75" x14ac:dyDescent="0.2">
      <c r="A487" s="68"/>
      <c r="B487" s="102"/>
      <c r="C487" s="38"/>
      <c r="D487" s="67"/>
    </row>
    <row r="488" spans="1:4" ht="33" x14ac:dyDescent="0.2">
      <c r="A488" s="68" t="str">
        <f ca="1">IFERROR(__xludf.DUMMYFUNCTION("""COMPUTED_VALUE"""),"M 1022-26054")</f>
        <v>M 1022-26054</v>
      </c>
      <c r="B488" s="102" t="str">
        <f ca="1">IFERROR(__xludf.DUMMYFUNCTION("""COMPUTED_VALUE"""),"Кронштейн МАК 1022-26054 - вынос 26мм; для прицелов Ø 25,4мм; Sako 75; Sako 80")</f>
        <v>Кронштейн МАК 1022-26054 - вынос 26мм; для прицелов Ø 25,4мм; Sako 75; Sako 80</v>
      </c>
      <c r="C488" s="49">
        <v>17200</v>
      </c>
      <c r="D488" s="67"/>
    </row>
    <row r="489" spans="1:4" ht="33" x14ac:dyDescent="0.25">
      <c r="A489" s="75" t="str">
        <f ca="1">IFERROR(__xludf.DUMMYFUNCTION("""COMPUTED_VALUE"""),"M 1022-26139 ")</f>
        <v xml:space="preserve">M 1022-26139 </v>
      </c>
      <c r="B489" s="105" t="str">
        <f ca="1">IFERROR(__xludf.DUMMYFUNCTION("""COMPUTED_VALUE"""),"Кронштейн МАК 1022-26139 - вынос 26мм; для прицелов Ø 25,4мм; для Heym SR21 Mod.2004")</f>
        <v>Кронштейн МАК 1022-26139 - вынос 26мм; для прицелов Ø 25,4мм; для Heym SR21 Mod.2004</v>
      </c>
      <c r="C489" s="48">
        <v>17200</v>
      </c>
      <c r="D489" s="67"/>
    </row>
    <row r="490" spans="1:4" ht="33" x14ac:dyDescent="0.25">
      <c r="A490" s="68" t="str">
        <f ca="1">IFERROR(__xludf.DUMMYFUNCTION("""COMPUTED_VALUE"""),"M 1022-30019")</f>
        <v>M 1022-30019</v>
      </c>
      <c r="B490" s="106" t="str">
        <f ca="1">IFERROR(__xludf.DUMMYFUNCTION("""COMPUTED_VALUE"""),"Кронштейн МАК 1022-30019 - вынос 26мм; для прицелов Ø 30мм; для Verney Carron Bolt action")</f>
        <v>Кронштейн МАК 1022-30019 - вынос 26мм; для прицелов Ø 30мм; для Verney Carron Bolt action</v>
      </c>
      <c r="C490" s="48">
        <v>17200</v>
      </c>
      <c r="D490" s="67"/>
    </row>
    <row r="491" spans="1:4" ht="33" x14ac:dyDescent="0.25">
      <c r="A491" s="75" t="str">
        <f ca="1">IFERROR(__xludf.DUMMYFUNCTION("""COMPUTED_VALUE"""),"M 1022-30089")</f>
        <v>M 1022-30089</v>
      </c>
      <c r="B491" s="105" t="str">
        <f ca="1">IFERROR(__xludf.DUMMYFUNCTION("""COMPUTED_VALUE"""),"Кронштейн МАК 1022-30089 - вынос 26мм; для прицелов Ø 30мм; для Steyr SBS")</f>
        <v>Кронштейн МАК 1022-30089 - вынос 26мм; для прицелов Ø 30мм; для Steyr SBS</v>
      </c>
      <c r="C491" s="48">
        <v>17200</v>
      </c>
      <c r="D491" s="67"/>
    </row>
    <row r="492" spans="1:4" ht="18.75" x14ac:dyDescent="0.25">
      <c r="A492" s="68" t="str">
        <f ca="1">IFERROR(__xludf.DUMMYFUNCTION("""COMPUTED_VALUE"""),"M 1022-3054")</f>
        <v>M 1022-3054</v>
      </c>
      <c r="B492" s="106" t="str">
        <f ca="1">IFERROR(__xludf.DUMMYFUNCTION("""COMPUTED_VALUE"""),"Кронштейн МАК 1022-3054 - вынос 26мм; для прицелов Ø 30мм; Sako 75; Sako 80")</f>
        <v>Кронштейн МАК 1022-3054 - вынос 26мм; для прицелов Ø 30мм; Sako 75; Sako 80</v>
      </c>
      <c r="C492" s="48">
        <v>17200</v>
      </c>
      <c r="D492" s="67"/>
    </row>
    <row r="493" spans="1:4" ht="18.75" x14ac:dyDescent="0.25">
      <c r="A493" s="76"/>
      <c r="B493" s="107" t="str">
        <f ca="1">IFERROR(__xludf.DUMMYFUNCTION("""COMPUTED_VALUE"""),"ПЕРЕДНИЕ БАЗЫ ДЛЯ ПОВОРОТНЫХ КРОНШТЕЙНОВ ДЛЯ ПЕРЕЛОМНОГО ОРУЖИЯ")</f>
        <v>ПЕРЕДНИЕ БАЗЫ ДЛЯ ПОВОРОТНЫХ КРОНШТЕЙНОВ ДЛЯ ПЕРЕЛОМНОГО ОРУЖИЯ</v>
      </c>
      <c r="C493" s="77"/>
      <c r="D493" s="67"/>
    </row>
    <row r="494" spans="1:4" ht="18.75" x14ac:dyDescent="0.25">
      <c r="A494" s="68" t="str">
        <f ca="1">IFERROR(__xludf.DUMMYFUNCTION("""COMPUTED_VALUE"""),"M 1690-1205")</f>
        <v>M 1690-1205</v>
      </c>
      <c r="B494" s="106" t="str">
        <f ca="1">IFERROR(__xludf.DUMMYFUNCTION("""COMPUTED_VALUE"""),"База для кронштейна МАК 1690-1205 - для шины 12мм, высота 5мм")</f>
        <v>База для кронштейна МАК 1690-1205 - для шины 12мм, высота 5мм</v>
      </c>
      <c r="C494" s="78">
        <v>1500</v>
      </c>
      <c r="D494" s="67"/>
    </row>
    <row r="495" spans="1:4" ht="18.75" x14ac:dyDescent="0.25">
      <c r="A495" s="68" t="str">
        <f ca="1">IFERROR(__xludf.DUMMYFUNCTION("""COMPUTED_VALUE"""),"M 1690-1206")</f>
        <v>M 1690-1206</v>
      </c>
      <c r="B495" s="106" t="str">
        <f ca="1">IFERROR(__xludf.DUMMYFUNCTION("""COMPUTED_VALUE"""),"База для кронштейна МАК 1690-1206 - для шины 12мм, высота 6мм")</f>
        <v>База для кронштейна МАК 1690-1206 - для шины 12мм, высота 6мм</v>
      </c>
      <c r="C495" s="66">
        <v>2000</v>
      </c>
      <c r="D495" s="67"/>
    </row>
    <row r="496" spans="1:4" ht="18.75" x14ac:dyDescent="0.25">
      <c r="A496" s="68" t="str">
        <f ca="1">IFERROR(__xludf.DUMMYFUNCTION("""COMPUTED_VALUE"""),"M 1690-1406")</f>
        <v>M 1690-1406</v>
      </c>
      <c r="B496" s="108" t="str">
        <f ca="1">IFERROR(__xludf.DUMMYFUNCTION("""COMPUTED_VALUE"""),"База для кронштейна МАК 1690-1406 - для шины 14мм, высота 6мм")</f>
        <v>База для кронштейна МАК 1690-1406 - для шины 14мм, высота 6мм</v>
      </c>
      <c r="C496" s="79">
        <v>2000</v>
      </c>
      <c r="D496" s="67"/>
    </row>
    <row r="497" spans="1:4" ht="33" x14ac:dyDescent="0.2">
      <c r="A497" s="76"/>
      <c r="B497" s="109" t="str">
        <f ca="1">IFERROR(__xludf.DUMMYFUNCTION("""COMPUTED_VALUE"""),"МОСТОВЫЕ ПОВОРОТНЫЕ КРОНШТЕЙНЫ МАК FLEX С РЫЧАЖНЫМ ЗАЖИМОМ. БЕЗ ОСНОВАНИЙ")</f>
        <v>МОСТОВЫЕ ПОВОРОТНЫЕ КРОНШТЕЙНЫ МАК FLEX С РЫЧАЖНЫМ ЗАЖИМОМ. БЕЗ ОСНОВАНИЙ</v>
      </c>
      <c r="C497" s="77"/>
      <c r="D497" s="67"/>
    </row>
    <row r="498" spans="1:4" ht="33" x14ac:dyDescent="0.25">
      <c r="A498" s="75" t="str">
        <f ca="1">IFERROR(__xludf.DUMMYFUNCTION("""COMPUTED_VALUE"""),"M 2284-3000")</f>
        <v>M 2284-3000</v>
      </c>
      <c r="B498" s="105" t="str">
        <f ca="1">IFERROR(__xludf.DUMMYFUNCTION("""COMPUTED_VALUE"""),"Кронштейн МАК 2284-3000 - для винтовки Blaser k77; с ротационным зажимом для прицелов Ø 30мм")</f>
        <v>Кронштейн МАК 2284-3000 - для винтовки Blaser k77; с ротационным зажимом для прицелов Ø 30мм</v>
      </c>
      <c r="C498" s="21">
        <v>15000</v>
      </c>
      <c r="D498" s="67"/>
    </row>
    <row r="499" spans="1:4" ht="33" x14ac:dyDescent="0.2">
      <c r="A499" s="68"/>
      <c r="B499" s="102" t="str">
        <f ca="1">IFERROR(__xludf.DUMMYFUNCTION("""COMPUTED_VALUE"""),"ВНИМАНИЕ: кронштейны MAK FLEX поставляются без переднего и заднего оснований")</f>
        <v>ВНИМАНИЕ: кронштейны MAK FLEX поставляются без переднего и заднего оснований</v>
      </c>
      <c r="C499" s="80"/>
      <c r="D499" s="67"/>
    </row>
    <row r="500" spans="1:4" ht="18.75" x14ac:dyDescent="0.2">
      <c r="A500" s="116" t="str">
        <f ca="1">IFERROR(__xludf.DUMMYFUNCTION("""COMPUTED_VALUE"""),"ОСНОВАНИЯ ДЛЯ ПОВОРОТНЫХ КРОНШТЕЙНОВ (КОМПЛЕКТ ПЕРЕДНЕЕ 1480-…+ ЗАДНЕЕ 1680-…)")</f>
        <v>ОСНОВАНИЯ ДЛЯ ПОВОРОТНЫХ КРОНШТЕЙНОВ (КОМПЛЕКТ ПЕРЕДНЕЕ 1480-…+ ЗАДНЕЕ 1680-…)</v>
      </c>
      <c r="B500" s="113"/>
      <c r="C500" s="81"/>
      <c r="D500" s="67"/>
    </row>
    <row r="501" spans="1:4" ht="18.75" x14ac:dyDescent="0.25">
      <c r="A501" s="82"/>
      <c r="B501" s="110"/>
      <c r="C501" s="83"/>
      <c r="D501" s="67"/>
    </row>
    <row r="502" spans="1:4" ht="18.75" x14ac:dyDescent="0.25">
      <c r="A502" s="82"/>
      <c r="B502" s="110"/>
      <c r="C502" s="83"/>
      <c r="D502" s="67"/>
    </row>
    <row r="503" spans="1:4" ht="18.75" x14ac:dyDescent="0.25">
      <c r="A503" s="82"/>
      <c r="B503" s="110"/>
      <c r="C503" s="83"/>
      <c r="D503" s="67"/>
    </row>
    <row r="504" spans="1:4" ht="18.75" x14ac:dyDescent="0.25">
      <c r="A504" s="82"/>
      <c r="B504" s="110"/>
      <c r="C504" s="83"/>
      <c r="D504" s="67"/>
    </row>
    <row r="505" spans="1:4" ht="18.75" x14ac:dyDescent="0.25">
      <c r="A505" s="82"/>
      <c r="B505" s="110"/>
      <c r="C505" s="83"/>
      <c r="D505" s="67"/>
    </row>
    <row r="506" spans="1:4" ht="18.75" x14ac:dyDescent="0.25">
      <c r="A506" s="82"/>
      <c r="B506" s="110"/>
      <c r="C506" s="83"/>
      <c r="D506" s="67"/>
    </row>
    <row r="507" spans="1:4" ht="18.75" x14ac:dyDescent="0.25">
      <c r="A507" s="82"/>
      <c r="B507" s="110"/>
      <c r="C507" s="83"/>
      <c r="D507" s="67"/>
    </row>
    <row r="508" spans="1:4" ht="18.75" x14ac:dyDescent="0.25">
      <c r="A508" s="82"/>
      <c r="B508" s="110"/>
      <c r="C508" s="83"/>
      <c r="D508" s="67"/>
    </row>
    <row r="509" spans="1:4" ht="18.75" x14ac:dyDescent="0.25">
      <c r="A509" s="82"/>
      <c r="B509" s="110"/>
      <c r="C509" s="83"/>
      <c r="D509" s="67"/>
    </row>
    <row r="510" spans="1:4" ht="18.75" x14ac:dyDescent="0.25">
      <c r="A510" s="82"/>
      <c r="B510" s="110"/>
      <c r="C510" s="83"/>
      <c r="D510" s="67"/>
    </row>
    <row r="511" spans="1:4" ht="18.75" x14ac:dyDescent="0.25">
      <c r="A511" s="82"/>
      <c r="B511" s="110"/>
      <c r="C511" s="83"/>
      <c r="D511" s="67"/>
    </row>
    <row r="512" spans="1:4" ht="18.75" x14ac:dyDescent="0.25">
      <c r="A512" s="82"/>
      <c r="B512" s="110"/>
      <c r="C512" s="83"/>
      <c r="D512" s="67"/>
    </row>
    <row r="513" spans="1:4" ht="18.75" x14ac:dyDescent="0.25">
      <c r="A513" s="82"/>
      <c r="B513" s="110"/>
      <c r="C513" s="83"/>
      <c r="D513" s="67"/>
    </row>
    <row r="514" spans="1:4" ht="18.75" x14ac:dyDescent="0.25">
      <c r="A514" s="82"/>
      <c r="B514" s="110"/>
      <c r="C514" s="83"/>
      <c r="D514" s="67"/>
    </row>
    <row r="515" spans="1:4" ht="18.75" x14ac:dyDescent="0.25">
      <c r="A515" s="82"/>
      <c r="B515" s="110"/>
      <c r="C515" s="83"/>
      <c r="D515" s="67"/>
    </row>
    <row r="516" spans="1:4" ht="18.75" x14ac:dyDescent="0.25">
      <c r="A516" s="82"/>
      <c r="B516" s="110"/>
      <c r="C516" s="83"/>
      <c r="D516" s="67"/>
    </row>
    <row r="517" spans="1:4" ht="18.75" x14ac:dyDescent="0.25">
      <c r="A517" s="82"/>
      <c r="B517" s="110"/>
      <c r="C517" s="83"/>
      <c r="D517" s="67"/>
    </row>
    <row r="518" spans="1:4" ht="18.75" x14ac:dyDescent="0.25">
      <c r="A518" s="82"/>
      <c r="B518" s="110"/>
      <c r="C518" s="83"/>
      <c r="D518" s="67"/>
    </row>
    <row r="519" spans="1:4" ht="18.75" x14ac:dyDescent="0.25">
      <c r="A519" s="82"/>
      <c r="B519" s="110"/>
      <c r="C519" s="83"/>
      <c r="D519" s="67"/>
    </row>
    <row r="520" spans="1:4" ht="18.75" x14ac:dyDescent="0.25">
      <c r="A520" s="82"/>
      <c r="B520" s="110"/>
      <c r="C520" s="83"/>
      <c r="D520" s="67"/>
    </row>
    <row r="521" spans="1:4" ht="18.75" x14ac:dyDescent="0.25">
      <c r="A521" s="82"/>
      <c r="B521" s="110"/>
      <c r="C521" s="83"/>
      <c r="D521" s="67"/>
    </row>
    <row r="522" spans="1:4" ht="18.75" x14ac:dyDescent="0.25">
      <c r="A522" s="82"/>
      <c r="B522" s="110"/>
      <c r="C522" s="83"/>
      <c r="D522" s="67"/>
    </row>
    <row r="523" spans="1:4" ht="18.75" x14ac:dyDescent="0.25">
      <c r="A523" s="82"/>
      <c r="B523" s="110"/>
      <c r="C523" s="83"/>
      <c r="D523" s="67"/>
    </row>
    <row r="524" spans="1:4" ht="18.75" x14ac:dyDescent="0.25">
      <c r="A524" s="82"/>
      <c r="B524" s="110"/>
      <c r="C524" s="83"/>
      <c r="D524" s="67"/>
    </row>
    <row r="525" spans="1:4" ht="18.75" x14ac:dyDescent="0.25">
      <c r="A525" s="82"/>
      <c r="B525" s="110"/>
      <c r="C525" s="83"/>
      <c r="D525" s="67"/>
    </row>
    <row r="526" spans="1:4" ht="18.75" x14ac:dyDescent="0.25">
      <c r="A526" s="82"/>
      <c r="B526" s="110"/>
      <c r="C526" s="83"/>
      <c r="D526" s="67"/>
    </row>
    <row r="527" spans="1:4" ht="18.75" x14ac:dyDescent="0.25">
      <c r="A527" s="82"/>
      <c r="B527" s="110"/>
      <c r="C527" s="83"/>
      <c r="D527" s="67"/>
    </row>
    <row r="528" spans="1:4" ht="18.75" x14ac:dyDescent="0.25">
      <c r="A528" s="82"/>
      <c r="B528" s="110"/>
      <c r="C528" s="83"/>
      <c r="D528" s="67"/>
    </row>
    <row r="529" spans="1:4" ht="18.75" x14ac:dyDescent="0.25">
      <c r="A529" s="82"/>
      <c r="B529" s="110"/>
      <c r="C529" s="83"/>
      <c r="D529" s="67"/>
    </row>
    <row r="530" spans="1:4" ht="18.75" x14ac:dyDescent="0.25">
      <c r="A530" s="82"/>
      <c r="B530" s="110"/>
      <c r="C530" s="83"/>
      <c r="D530" s="67"/>
    </row>
    <row r="531" spans="1:4" ht="18.75" x14ac:dyDescent="0.25">
      <c r="A531" s="82"/>
      <c r="B531" s="110"/>
      <c r="C531" s="83"/>
      <c r="D531" s="67"/>
    </row>
    <row r="532" spans="1:4" ht="18.75" x14ac:dyDescent="0.25">
      <c r="A532" s="82"/>
      <c r="B532" s="110"/>
      <c r="C532" s="83"/>
      <c r="D532" s="67"/>
    </row>
    <row r="533" spans="1:4" ht="18.75" x14ac:dyDescent="0.25">
      <c r="A533" s="82"/>
      <c r="B533" s="110"/>
      <c r="C533" s="83"/>
      <c r="D533" s="67"/>
    </row>
    <row r="534" spans="1:4" ht="18.75" x14ac:dyDescent="0.25">
      <c r="A534" s="82"/>
      <c r="B534" s="110"/>
      <c r="C534" s="83"/>
      <c r="D534" s="67"/>
    </row>
    <row r="535" spans="1:4" ht="18.75" x14ac:dyDescent="0.25">
      <c r="A535" s="82"/>
      <c r="B535" s="110"/>
      <c r="C535" s="83"/>
      <c r="D535" s="67"/>
    </row>
    <row r="536" spans="1:4" ht="18.75" x14ac:dyDescent="0.25">
      <c r="A536" s="82"/>
      <c r="B536" s="110"/>
      <c r="C536" s="83"/>
      <c r="D536" s="67"/>
    </row>
    <row r="537" spans="1:4" ht="18.75" x14ac:dyDescent="0.25">
      <c r="A537" s="82"/>
      <c r="B537" s="110"/>
      <c r="C537" s="83"/>
      <c r="D537" s="67"/>
    </row>
    <row r="538" spans="1:4" ht="18.75" x14ac:dyDescent="0.25">
      <c r="A538" s="82"/>
      <c r="B538" s="110"/>
      <c r="C538" s="83"/>
      <c r="D538" s="67"/>
    </row>
    <row r="539" spans="1:4" ht="18.75" x14ac:dyDescent="0.25">
      <c r="A539" s="82"/>
      <c r="B539" s="110"/>
      <c r="C539" s="83"/>
      <c r="D539" s="67"/>
    </row>
    <row r="540" spans="1:4" ht="18.75" x14ac:dyDescent="0.25">
      <c r="A540" s="82"/>
      <c r="B540" s="110"/>
      <c r="C540" s="83"/>
      <c r="D540" s="67"/>
    </row>
    <row r="541" spans="1:4" ht="18.75" x14ac:dyDescent="0.25">
      <c r="A541" s="82"/>
      <c r="B541" s="110"/>
      <c r="C541" s="83"/>
      <c r="D541" s="67"/>
    </row>
    <row r="542" spans="1:4" ht="18.75" x14ac:dyDescent="0.25">
      <c r="A542" s="82"/>
      <c r="B542" s="110"/>
      <c r="C542" s="83"/>
      <c r="D542" s="67"/>
    </row>
    <row r="543" spans="1:4" ht="18.75" x14ac:dyDescent="0.25">
      <c r="A543" s="82"/>
      <c r="B543" s="110"/>
      <c r="C543" s="83"/>
      <c r="D543" s="67"/>
    </row>
    <row r="544" spans="1:4" ht="18.75" x14ac:dyDescent="0.25">
      <c r="A544" s="82"/>
      <c r="B544" s="110"/>
      <c r="C544" s="83"/>
      <c r="D544" s="67"/>
    </row>
    <row r="545" spans="1:4" ht="18.75" x14ac:dyDescent="0.25">
      <c r="A545" s="82"/>
      <c r="B545" s="110"/>
      <c r="C545" s="83"/>
      <c r="D545" s="67"/>
    </row>
    <row r="546" spans="1:4" ht="18.75" x14ac:dyDescent="0.25">
      <c r="A546" s="82"/>
      <c r="B546" s="110"/>
      <c r="C546" s="83"/>
      <c r="D546" s="67"/>
    </row>
    <row r="547" spans="1:4" ht="18.75" x14ac:dyDescent="0.25">
      <c r="A547" s="82"/>
      <c r="B547" s="110"/>
      <c r="C547" s="83"/>
      <c r="D547" s="67"/>
    </row>
    <row r="548" spans="1:4" ht="18.75" x14ac:dyDescent="0.25">
      <c r="A548" s="82"/>
      <c r="B548" s="110"/>
      <c r="C548" s="83"/>
      <c r="D548" s="67"/>
    </row>
    <row r="549" spans="1:4" ht="18.75" x14ac:dyDescent="0.25">
      <c r="A549" s="82"/>
      <c r="B549" s="110"/>
      <c r="C549" s="83"/>
      <c r="D549" s="67"/>
    </row>
    <row r="550" spans="1:4" ht="18.75" x14ac:dyDescent="0.25">
      <c r="A550" s="82"/>
      <c r="B550" s="110"/>
      <c r="C550" s="83"/>
      <c r="D550" s="67"/>
    </row>
    <row r="551" spans="1:4" ht="18.75" x14ac:dyDescent="0.25">
      <c r="A551" s="82"/>
      <c r="B551" s="110"/>
      <c r="C551" s="83"/>
      <c r="D551" s="67"/>
    </row>
    <row r="552" spans="1:4" ht="18.75" x14ac:dyDescent="0.25">
      <c r="A552" s="82"/>
      <c r="B552" s="110"/>
      <c r="C552" s="83"/>
      <c r="D552" s="67"/>
    </row>
    <row r="553" spans="1:4" ht="18.75" x14ac:dyDescent="0.25">
      <c r="A553" s="82"/>
      <c r="B553" s="110"/>
      <c r="C553" s="83"/>
      <c r="D553" s="67"/>
    </row>
    <row r="554" spans="1:4" ht="18.75" x14ac:dyDescent="0.25">
      <c r="A554" s="82"/>
      <c r="B554" s="110"/>
      <c r="C554" s="83"/>
      <c r="D554" s="67"/>
    </row>
    <row r="555" spans="1:4" ht="18.75" x14ac:dyDescent="0.25">
      <c r="A555" s="82"/>
      <c r="B555" s="110"/>
      <c r="C555" s="83"/>
      <c r="D555" s="67"/>
    </row>
    <row r="556" spans="1:4" ht="18.75" x14ac:dyDescent="0.25">
      <c r="A556" s="82"/>
      <c r="B556" s="110"/>
      <c r="C556" s="83"/>
      <c r="D556" s="67"/>
    </row>
    <row r="557" spans="1:4" ht="18.75" x14ac:dyDescent="0.25">
      <c r="A557" s="82"/>
      <c r="B557" s="110"/>
      <c r="C557" s="83"/>
      <c r="D557" s="67"/>
    </row>
    <row r="558" spans="1:4" ht="18.75" x14ac:dyDescent="0.25">
      <c r="A558" s="82"/>
      <c r="B558" s="110"/>
      <c r="C558" s="83"/>
      <c r="D558" s="67"/>
    </row>
    <row r="559" spans="1:4" ht="18.75" x14ac:dyDescent="0.25">
      <c r="A559" s="82"/>
      <c r="B559" s="110"/>
      <c r="C559" s="83"/>
      <c r="D559" s="67"/>
    </row>
    <row r="560" spans="1:4" ht="18.75" x14ac:dyDescent="0.25">
      <c r="A560" s="82"/>
      <c r="B560" s="110"/>
      <c r="C560" s="83"/>
      <c r="D560" s="67"/>
    </row>
    <row r="561" spans="1:4" ht="18.75" x14ac:dyDescent="0.25">
      <c r="A561" s="82"/>
      <c r="B561" s="110"/>
      <c r="C561" s="83"/>
      <c r="D561" s="67"/>
    </row>
    <row r="562" spans="1:4" ht="18.75" x14ac:dyDescent="0.25">
      <c r="A562" s="82"/>
      <c r="B562" s="110"/>
      <c r="C562" s="83"/>
      <c r="D562" s="67"/>
    </row>
    <row r="563" spans="1:4" ht="18.75" x14ac:dyDescent="0.25">
      <c r="A563" s="82"/>
      <c r="B563" s="110"/>
      <c r="C563" s="83"/>
      <c r="D563" s="67"/>
    </row>
    <row r="564" spans="1:4" ht="18.75" x14ac:dyDescent="0.25">
      <c r="A564" s="82"/>
      <c r="B564" s="110"/>
      <c r="C564" s="83"/>
      <c r="D564" s="67"/>
    </row>
    <row r="565" spans="1:4" ht="18.75" x14ac:dyDescent="0.25">
      <c r="A565" s="82"/>
      <c r="B565" s="110"/>
      <c r="C565" s="83"/>
      <c r="D565" s="67"/>
    </row>
    <row r="566" spans="1:4" ht="18.75" x14ac:dyDescent="0.25">
      <c r="A566" s="82"/>
      <c r="B566" s="110"/>
      <c r="C566" s="83"/>
      <c r="D566" s="67"/>
    </row>
    <row r="567" spans="1:4" ht="18.75" x14ac:dyDescent="0.25">
      <c r="A567" s="82"/>
      <c r="B567" s="110"/>
      <c r="C567" s="83"/>
      <c r="D567" s="67"/>
    </row>
    <row r="568" spans="1:4" ht="18.75" x14ac:dyDescent="0.25">
      <c r="A568" s="82"/>
      <c r="B568" s="110"/>
      <c r="C568" s="83"/>
      <c r="D568" s="67"/>
    </row>
    <row r="569" spans="1:4" ht="18.75" x14ac:dyDescent="0.25">
      <c r="A569" s="82"/>
      <c r="B569" s="110"/>
      <c r="C569" s="83"/>
      <c r="D569" s="67"/>
    </row>
    <row r="570" spans="1:4" ht="18.75" x14ac:dyDescent="0.25">
      <c r="A570" s="82"/>
      <c r="B570" s="110"/>
      <c r="C570" s="83"/>
      <c r="D570" s="67"/>
    </row>
    <row r="571" spans="1:4" ht="18.75" x14ac:dyDescent="0.25">
      <c r="A571" s="82"/>
      <c r="B571" s="110"/>
      <c r="C571" s="83"/>
      <c r="D571" s="67"/>
    </row>
    <row r="572" spans="1:4" ht="18.75" x14ac:dyDescent="0.25">
      <c r="A572" s="82"/>
      <c r="B572" s="110"/>
      <c r="C572" s="83"/>
      <c r="D572" s="67"/>
    </row>
    <row r="573" spans="1:4" ht="18.75" x14ac:dyDescent="0.25">
      <c r="A573" s="82"/>
      <c r="B573" s="110"/>
      <c r="C573" s="83"/>
      <c r="D573" s="67"/>
    </row>
    <row r="574" spans="1:4" ht="18.75" x14ac:dyDescent="0.25">
      <c r="A574" s="82"/>
      <c r="B574" s="110"/>
      <c r="C574" s="83"/>
      <c r="D574" s="67"/>
    </row>
    <row r="575" spans="1:4" ht="18.75" x14ac:dyDescent="0.25">
      <c r="A575" s="82"/>
      <c r="B575" s="110"/>
      <c r="C575" s="83"/>
      <c r="D575" s="67"/>
    </row>
    <row r="576" spans="1:4" ht="18.75" x14ac:dyDescent="0.25">
      <c r="A576" s="82"/>
      <c r="B576" s="110"/>
      <c r="C576" s="83"/>
      <c r="D576" s="67"/>
    </row>
    <row r="577" spans="1:4" ht="18.75" x14ac:dyDescent="0.25">
      <c r="A577" s="82"/>
      <c r="B577" s="110"/>
      <c r="C577" s="83"/>
      <c r="D577" s="67"/>
    </row>
    <row r="578" spans="1:4" ht="18.75" x14ac:dyDescent="0.25">
      <c r="A578" s="82"/>
      <c r="B578" s="110"/>
      <c r="C578" s="83"/>
      <c r="D578" s="67"/>
    </row>
    <row r="579" spans="1:4" ht="18.75" x14ac:dyDescent="0.25">
      <c r="A579" s="82"/>
      <c r="B579" s="110"/>
      <c r="C579" s="83"/>
      <c r="D579" s="67"/>
    </row>
    <row r="580" spans="1:4" ht="18.75" x14ac:dyDescent="0.25">
      <c r="A580" s="82"/>
      <c r="B580" s="110"/>
      <c r="C580" s="83"/>
      <c r="D580" s="67"/>
    </row>
    <row r="581" spans="1:4" ht="18.75" x14ac:dyDescent="0.25">
      <c r="A581" s="82"/>
      <c r="B581" s="110"/>
      <c r="C581" s="83"/>
      <c r="D581" s="67"/>
    </row>
    <row r="582" spans="1:4" ht="18.75" x14ac:dyDescent="0.25">
      <c r="A582" s="82"/>
      <c r="B582" s="110"/>
      <c r="C582" s="83"/>
      <c r="D582" s="67"/>
    </row>
    <row r="583" spans="1:4" ht="18.75" x14ac:dyDescent="0.25">
      <c r="A583" s="82"/>
      <c r="B583" s="110"/>
      <c r="C583" s="83"/>
      <c r="D583" s="67"/>
    </row>
    <row r="584" spans="1:4" ht="18.75" x14ac:dyDescent="0.25">
      <c r="A584" s="82"/>
      <c r="B584" s="110"/>
      <c r="C584" s="83"/>
      <c r="D584" s="67"/>
    </row>
    <row r="585" spans="1:4" ht="18.75" x14ac:dyDescent="0.25">
      <c r="A585" s="82"/>
      <c r="B585" s="110"/>
      <c r="C585" s="83"/>
      <c r="D585" s="67"/>
    </row>
    <row r="586" spans="1:4" ht="18.75" x14ac:dyDescent="0.25">
      <c r="A586" s="82"/>
      <c r="B586" s="110"/>
      <c r="C586" s="83"/>
      <c r="D586" s="67"/>
    </row>
    <row r="587" spans="1:4" ht="18.75" x14ac:dyDescent="0.25">
      <c r="A587" s="82"/>
      <c r="B587" s="110"/>
      <c r="C587" s="83"/>
      <c r="D587" s="67"/>
    </row>
    <row r="588" spans="1:4" ht="18.75" x14ac:dyDescent="0.25">
      <c r="A588" s="82"/>
      <c r="B588" s="110"/>
      <c r="C588" s="83"/>
      <c r="D588" s="67"/>
    </row>
    <row r="589" spans="1:4" ht="18.75" x14ac:dyDescent="0.25">
      <c r="A589" s="82"/>
      <c r="B589" s="110"/>
      <c r="C589" s="83"/>
      <c r="D589" s="67"/>
    </row>
    <row r="590" spans="1:4" ht="18.75" x14ac:dyDescent="0.25">
      <c r="A590" s="82"/>
      <c r="B590" s="110"/>
      <c r="C590" s="83"/>
      <c r="D590" s="67"/>
    </row>
    <row r="591" spans="1:4" ht="18.75" x14ac:dyDescent="0.25">
      <c r="A591" s="82"/>
      <c r="B591" s="110"/>
      <c r="C591" s="83"/>
      <c r="D591" s="67"/>
    </row>
    <row r="592" spans="1:4" ht="18.75" x14ac:dyDescent="0.25">
      <c r="A592" s="82"/>
      <c r="B592" s="110"/>
      <c r="C592" s="83"/>
      <c r="D592" s="67"/>
    </row>
    <row r="593" spans="1:4" ht="18.75" x14ac:dyDescent="0.25">
      <c r="A593" s="82"/>
      <c r="B593" s="110"/>
      <c r="C593" s="83"/>
      <c r="D593" s="67"/>
    </row>
    <row r="594" spans="1:4" ht="18.75" x14ac:dyDescent="0.25">
      <c r="A594" s="82"/>
      <c r="B594" s="110"/>
      <c r="C594" s="83"/>
      <c r="D594" s="67"/>
    </row>
    <row r="595" spans="1:4" ht="18.75" x14ac:dyDescent="0.25">
      <c r="A595" s="82"/>
      <c r="B595" s="110"/>
      <c r="C595" s="83"/>
      <c r="D595" s="67"/>
    </row>
    <row r="596" spans="1:4" ht="18.75" x14ac:dyDescent="0.25">
      <c r="A596" s="82"/>
      <c r="B596" s="110"/>
      <c r="C596" s="83"/>
      <c r="D596" s="67"/>
    </row>
    <row r="597" spans="1:4" ht="18.75" x14ac:dyDescent="0.25">
      <c r="A597" s="82"/>
      <c r="B597" s="110"/>
      <c r="C597" s="83"/>
      <c r="D597" s="67"/>
    </row>
    <row r="598" spans="1:4" ht="18.75" x14ac:dyDescent="0.25">
      <c r="A598" s="82"/>
      <c r="B598" s="110"/>
      <c r="C598" s="83"/>
      <c r="D598" s="67"/>
    </row>
    <row r="599" spans="1:4" ht="18.75" x14ac:dyDescent="0.25">
      <c r="A599" s="82"/>
      <c r="B599" s="110"/>
      <c r="C599" s="83"/>
      <c r="D599" s="67"/>
    </row>
    <row r="600" spans="1:4" ht="18.75" x14ac:dyDescent="0.25">
      <c r="A600" s="82"/>
      <c r="B600" s="110"/>
      <c r="C600" s="83"/>
      <c r="D600" s="67"/>
    </row>
    <row r="601" spans="1:4" ht="18.75" x14ac:dyDescent="0.25">
      <c r="A601" s="82"/>
      <c r="B601" s="110"/>
      <c r="C601" s="83"/>
      <c r="D601" s="67"/>
    </row>
    <row r="602" spans="1:4" ht="18.75" x14ac:dyDescent="0.25">
      <c r="A602" s="82"/>
      <c r="B602" s="110"/>
      <c r="C602" s="83"/>
      <c r="D602" s="67"/>
    </row>
    <row r="603" spans="1:4" ht="18.75" x14ac:dyDescent="0.25">
      <c r="A603" s="82"/>
      <c r="B603" s="110"/>
      <c r="C603" s="83"/>
      <c r="D603" s="67"/>
    </row>
    <row r="604" spans="1:4" ht="18.75" x14ac:dyDescent="0.25">
      <c r="A604" s="82"/>
      <c r="B604" s="110"/>
      <c r="C604" s="83"/>
      <c r="D604" s="67"/>
    </row>
    <row r="605" spans="1:4" ht="18.75" x14ac:dyDescent="0.25">
      <c r="A605" s="82"/>
      <c r="B605" s="110"/>
      <c r="C605" s="83"/>
      <c r="D605" s="67"/>
    </row>
    <row r="606" spans="1:4" ht="18.75" x14ac:dyDescent="0.25">
      <c r="A606" s="82"/>
      <c r="B606" s="110"/>
      <c r="C606" s="83"/>
      <c r="D606" s="67"/>
    </row>
    <row r="607" spans="1:4" ht="18.75" x14ac:dyDescent="0.25">
      <c r="A607" s="82"/>
      <c r="B607" s="110"/>
      <c r="C607" s="83"/>
      <c r="D607" s="67"/>
    </row>
    <row r="608" spans="1:4" ht="18.75" x14ac:dyDescent="0.25">
      <c r="A608" s="82"/>
      <c r="B608" s="110"/>
      <c r="C608" s="83"/>
      <c r="D608" s="67"/>
    </row>
    <row r="609" spans="1:4" ht="18.75" x14ac:dyDescent="0.25">
      <c r="A609" s="82"/>
      <c r="B609" s="110"/>
      <c r="C609" s="83"/>
      <c r="D609" s="67"/>
    </row>
    <row r="610" spans="1:4" ht="18.75" x14ac:dyDescent="0.25">
      <c r="A610" s="82"/>
      <c r="B610" s="110"/>
      <c r="C610" s="83"/>
      <c r="D610" s="67"/>
    </row>
    <row r="611" spans="1:4" ht="18.75" x14ac:dyDescent="0.25">
      <c r="A611" s="82"/>
      <c r="B611" s="110"/>
      <c r="C611" s="83"/>
      <c r="D611" s="67"/>
    </row>
    <row r="612" spans="1:4" ht="18.75" x14ac:dyDescent="0.25">
      <c r="A612" s="82"/>
      <c r="B612" s="110"/>
      <c r="C612" s="83"/>
      <c r="D612" s="67"/>
    </row>
    <row r="613" spans="1:4" ht="18.75" x14ac:dyDescent="0.25">
      <c r="A613" s="82"/>
      <c r="B613" s="110"/>
      <c r="C613" s="83"/>
      <c r="D613" s="67"/>
    </row>
    <row r="614" spans="1:4" ht="18.75" x14ac:dyDescent="0.25">
      <c r="A614" s="82"/>
      <c r="B614" s="110"/>
      <c r="C614" s="83"/>
      <c r="D614" s="67"/>
    </row>
    <row r="615" spans="1:4" ht="18.75" x14ac:dyDescent="0.25">
      <c r="A615" s="82"/>
      <c r="B615" s="110"/>
      <c r="C615" s="83"/>
      <c r="D615" s="67"/>
    </row>
    <row r="616" spans="1:4" ht="18.75" x14ac:dyDescent="0.25">
      <c r="A616" s="82"/>
      <c r="B616" s="110"/>
      <c r="C616" s="83"/>
      <c r="D616" s="67"/>
    </row>
    <row r="617" spans="1:4" ht="18.75" x14ac:dyDescent="0.25">
      <c r="A617" s="82"/>
      <c r="B617" s="110"/>
      <c r="C617" s="83"/>
      <c r="D617" s="67"/>
    </row>
    <row r="618" spans="1:4" ht="18.75" x14ac:dyDescent="0.25">
      <c r="A618" s="82"/>
      <c r="B618" s="110"/>
      <c r="C618" s="83"/>
      <c r="D618" s="67"/>
    </row>
    <row r="619" spans="1:4" ht="18.75" x14ac:dyDescent="0.25">
      <c r="A619" s="82"/>
      <c r="B619" s="110"/>
      <c r="C619" s="83"/>
      <c r="D619" s="67"/>
    </row>
    <row r="620" spans="1:4" ht="18.75" x14ac:dyDescent="0.25">
      <c r="A620" s="82"/>
      <c r="B620" s="110"/>
      <c r="C620" s="83"/>
      <c r="D620" s="67"/>
    </row>
    <row r="621" spans="1:4" ht="18.75" x14ac:dyDescent="0.25">
      <c r="A621" s="82"/>
      <c r="B621" s="110"/>
      <c r="C621" s="83"/>
      <c r="D621" s="67"/>
    </row>
    <row r="622" spans="1:4" ht="18.75" x14ac:dyDescent="0.25">
      <c r="A622" s="82"/>
      <c r="B622" s="110"/>
      <c r="C622" s="83"/>
      <c r="D622" s="67"/>
    </row>
    <row r="623" spans="1:4" ht="18.75" x14ac:dyDescent="0.25">
      <c r="A623" s="82"/>
      <c r="B623" s="110"/>
      <c r="C623" s="83"/>
      <c r="D623" s="67"/>
    </row>
    <row r="624" spans="1:4" ht="18.75" x14ac:dyDescent="0.25">
      <c r="A624" s="82"/>
      <c r="B624" s="110"/>
      <c r="C624" s="83"/>
      <c r="D624" s="67"/>
    </row>
    <row r="625" spans="1:4" ht="18.75" x14ac:dyDescent="0.25">
      <c r="A625" s="82"/>
      <c r="B625" s="110"/>
      <c r="C625" s="83"/>
      <c r="D625" s="67"/>
    </row>
    <row r="626" spans="1:4" ht="18.75" x14ac:dyDescent="0.25">
      <c r="A626" s="82"/>
      <c r="B626" s="110"/>
      <c r="C626" s="83"/>
      <c r="D626" s="67"/>
    </row>
    <row r="627" spans="1:4" ht="18.75" x14ac:dyDescent="0.25">
      <c r="A627" s="82"/>
      <c r="B627" s="110"/>
      <c r="C627" s="83"/>
      <c r="D627" s="67"/>
    </row>
    <row r="628" spans="1:4" ht="18.75" x14ac:dyDescent="0.25">
      <c r="A628" s="82"/>
      <c r="B628" s="110"/>
      <c r="C628" s="83"/>
      <c r="D628" s="67"/>
    </row>
    <row r="629" spans="1:4" ht="18.75" x14ac:dyDescent="0.25">
      <c r="A629" s="82"/>
      <c r="B629" s="110"/>
      <c r="C629" s="83"/>
      <c r="D629" s="67"/>
    </row>
    <row r="630" spans="1:4" ht="18.75" x14ac:dyDescent="0.25">
      <c r="A630" s="82"/>
      <c r="B630" s="110"/>
      <c r="C630" s="83"/>
      <c r="D630" s="67"/>
    </row>
    <row r="631" spans="1:4" ht="18.75" x14ac:dyDescent="0.25">
      <c r="A631" s="82"/>
      <c r="B631" s="110"/>
      <c r="C631" s="83"/>
      <c r="D631" s="67"/>
    </row>
    <row r="632" spans="1:4" ht="18.75" x14ac:dyDescent="0.25">
      <c r="A632" s="82"/>
      <c r="B632" s="110"/>
      <c r="C632" s="83"/>
      <c r="D632" s="67"/>
    </row>
    <row r="633" spans="1:4" ht="18.75" x14ac:dyDescent="0.25">
      <c r="A633" s="82"/>
      <c r="B633" s="110"/>
      <c r="C633" s="83"/>
      <c r="D633" s="67"/>
    </row>
    <row r="634" spans="1:4" ht="18.75" x14ac:dyDescent="0.25">
      <c r="A634" s="82"/>
      <c r="B634" s="110"/>
      <c r="C634" s="83"/>
      <c r="D634" s="67"/>
    </row>
    <row r="635" spans="1:4" ht="18.75" x14ac:dyDescent="0.25">
      <c r="A635" s="82"/>
      <c r="B635" s="110"/>
      <c r="C635" s="83"/>
      <c r="D635" s="67"/>
    </row>
    <row r="636" spans="1:4" ht="18.75" x14ac:dyDescent="0.25">
      <c r="A636" s="82"/>
      <c r="B636" s="110"/>
      <c r="C636" s="83"/>
      <c r="D636" s="67"/>
    </row>
    <row r="637" spans="1:4" ht="18.75" x14ac:dyDescent="0.25">
      <c r="A637" s="82"/>
      <c r="B637" s="110"/>
      <c r="C637" s="83"/>
      <c r="D637" s="67"/>
    </row>
    <row r="638" spans="1:4" ht="18.75" x14ac:dyDescent="0.25">
      <c r="A638" s="82"/>
      <c r="B638" s="110"/>
      <c r="C638" s="83"/>
      <c r="D638" s="67"/>
    </row>
    <row r="639" spans="1:4" ht="18.75" x14ac:dyDescent="0.25">
      <c r="A639" s="82"/>
      <c r="B639" s="110"/>
      <c r="C639" s="83"/>
      <c r="D639" s="67"/>
    </row>
    <row r="640" spans="1:4" ht="18.75" x14ac:dyDescent="0.25">
      <c r="A640" s="82"/>
      <c r="B640" s="110"/>
      <c r="C640" s="83"/>
      <c r="D640" s="67"/>
    </row>
    <row r="641" spans="1:4" ht="18.75" x14ac:dyDescent="0.25">
      <c r="A641" s="82"/>
      <c r="B641" s="110"/>
      <c r="C641" s="83"/>
      <c r="D641" s="67"/>
    </row>
    <row r="642" spans="1:4" ht="18.75" x14ac:dyDescent="0.25">
      <c r="A642" s="82"/>
      <c r="B642" s="110"/>
      <c r="C642" s="83"/>
      <c r="D642" s="67"/>
    </row>
    <row r="643" spans="1:4" ht="18.75" x14ac:dyDescent="0.25">
      <c r="A643" s="82"/>
      <c r="B643" s="110"/>
      <c r="C643" s="83"/>
      <c r="D643" s="67"/>
    </row>
    <row r="644" spans="1:4" ht="18.75" x14ac:dyDescent="0.25">
      <c r="A644" s="82"/>
      <c r="B644" s="110"/>
      <c r="C644" s="83"/>
      <c r="D644" s="67"/>
    </row>
    <row r="645" spans="1:4" ht="18.75" x14ac:dyDescent="0.25">
      <c r="A645" s="82"/>
      <c r="B645" s="110"/>
      <c r="C645" s="83"/>
      <c r="D645" s="67"/>
    </row>
    <row r="646" spans="1:4" ht="18.75" x14ac:dyDescent="0.25">
      <c r="A646" s="82"/>
      <c r="B646" s="110"/>
      <c r="C646" s="83"/>
      <c r="D646" s="67"/>
    </row>
    <row r="647" spans="1:4" ht="18.75" x14ac:dyDescent="0.25">
      <c r="A647" s="82"/>
      <c r="B647" s="110"/>
      <c r="C647" s="83"/>
      <c r="D647" s="67"/>
    </row>
    <row r="648" spans="1:4" ht="18.75" x14ac:dyDescent="0.25">
      <c r="A648" s="82"/>
      <c r="B648" s="110"/>
      <c r="C648" s="83"/>
      <c r="D648" s="67"/>
    </row>
    <row r="649" spans="1:4" ht="18.75" x14ac:dyDescent="0.25">
      <c r="A649" s="82"/>
      <c r="B649" s="110"/>
      <c r="C649" s="83"/>
      <c r="D649" s="67"/>
    </row>
    <row r="650" spans="1:4" ht="18.75" x14ac:dyDescent="0.25">
      <c r="A650" s="82"/>
      <c r="B650" s="110"/>
      <c r="C650" s="83"/>
      <c r="D650" s="67"/>
    </row>
    <row r="651" spans="1:4" ht="18.75" x14ac:dyDescent="0.25">
      <c r="A651" s="82"/>
      <c r="B651" s="110"/>
      <c r="C651" s="83"/>
      <c r="D651" s="67"/>
    </row>
    <row r="652" spans="1:4" ht="18.75" x14ac:dyDescent="0.25">
      <c r="A652" s="82"/>
      <c r="B652" s="110"/>
      <c r="C652" s="83"/>
      <c r="D652" s="67"/>
    </row>
    <row r="653" spans="1:4" ht="18.75" x14ac:dyDescent="0.25">
      <c r="A653" s="82"/>
      <c r="B653" s="110"/>
      <c r="C653" s="83"/>
      <c r="D653" s="67"/>
    </row>
    <row r="654" spans="1:4" ht="18.75" x14ac:dyDescent="0.25">
      <c r="A654" s="82"/>
      <c r="B654" s="110"/>
      <c r="C654" s="83"/>
      <c r="D654" s="67"/>
    </row>
    <row r="655" spans="1:4" ht="18.75" x14ac:dyDescent="0.25">
      <c r="A655" s="82"/>
      <c r="B655" s="110"/>
      <c r="C655" s="83"/>
      <c r="D655" s="67"/>
    </row>
    <row r="656" spans="1:4" ht="18.75" x14ac:dyDescent="0.25">
      <c r="A656" s="82"/>
      <c r="B656" s="110"/>
      <c r="C656" s="83"/>
      <c r="D656" s="67"/>
    </row>
    <row r="657" spans="1:4" ht="18.75" x14ac:dyDescent="0.25">
      <c r="A657" s="82"/>
      <c r="B657" s="110"/>
      <c r="C657" s="83"/>
      <c r="D657" s="67"/>
    </row>
    <row r="658" spans="1:4" ht="18.75" x14ac:dyDescent="0.25">
      <c r="A658" s="82"/>
      <c r="B658" s="110"/>
      <c r="C658" s="83"/>
      <c r="D658" s="67"/>
    </row>
    <row r="659" spans="1:4" ht="18.75" x14ac:dyDescent="0.25">
      <c r="A659" s="82"/>
      <c r="B659" s="110"/>
      <c r="C659" s="83"/>
      <c r="D659" s="67"/>
    </row>
    <row r="660" spans="1:4" ht="18.75" x14ac:dyDescent="0.25">
      <c r="A660" s="82"/>
      <c r="B660" s="110"/>
      <c r="C660" s="83"/>
      <c r="D660" s="67"/>
    </row>
    <row r="661" spans="1:4" ht="18.75" x14ac:dyDescent="0.25">
      <c r="A661" s="82"/>
      <c r="B661" s="110"/>
      <c r="C661" s="83"/>
      <c r="D661" s="67"/>
    </row>
    <row r="662" spans="1:4" ht="18.75" x14ac:dyDescent="0.25">
      <c r="A662" s="82"/>
      <c r="B662" s="110"/>
      <c r="C662" s="83"/>
      <c r="D662" s="67"/>
    </row>
    <row r="663" spans="1:4" ht="18.75" x14ac:dyDescent="0.25">
      <c r="A663" s="82"/>
      <c r="B663" s="110"/>
      <c r="C663" s="83"/>
      <c r="D663" s="67"/>
    </row>
    <row r="664" spans="1:4" ht="18.75" x14ac:dyDescent="0.25">
      <c r="A664" s="82"/>
      <c r="B664" s="110"/>
      <c r="C664" s="83"/>
      <c r="D664" s="67"/>
    </row>
    <row r="665" spans="1:4" ht="18.75" x14ac:dyDescent="0.25">
      <c r="A665" s="82"/>
      <c r="B665" s="110"/>
      <c r="C665" s="83"/>
      <c r="D665" s="67"/>
    </row>
    <row r="666" spans="1:4" ht="18.75" x14ac:dyDescent="0.25">
      <c r="A666" s="82"/>
      <c r="B666" s="110"/>
      <c r="C666" s="83"/>
      <c r="D666" s="67"/>
    </row>
    <row r="667" spans="1:4" ht="18.75" x14ac:dyDescent="0.25">
      <c r="A667" s="82"/>
      <c r="B667" s="110"/>
      <c r="C667" s="83"/>
      <c r="D667" s="67"/>
    </row>
    <row r="668" spans="1:4" ht="18.75" x14ac:dyDescent="0.25">
      <c r="A668" s="82"/>
      <c r="B668" s="110"/>
      <c r="C668" s="83"/>
      <c r="D668" s="67"/>
    </row>
    <row r="669" spans="1:4" ht="18.75" x14ac:dyDescent="0.25">
      <c r="A669" s="82"/>
      <c r="B669" s="110"/>
      <c r="C669" s="83"/>
      <c r="D669" s="67"/>
    </row>
    <row r="670" spans="1:4" ht="18.75" x14ac:dyDescent="0.25">
      <c r="A670" s="82"/>
      <c r="B670" s="110"/>
      <c r="C670" s="83"/>
      <c r="D670" s="67"/>
    </row>
    <row r="671" spans="1:4" ht="18.75" x14ac:dyDescent="0.25">
      <c r="A671" s="82"/>
      <c r="B671" s="110"/>
      <c r="C671" s="83"/>
      <c r="D671" s="67"/>
    </row>
    <row r="672" spans="1:4" ht="18.75" x14ac:dyDescent="0.25">
      <c r="A672" s="82"/>
      <c r="B672" s="110"/>
      <c r="C672" s="83"/>
      <c r="D672" s="67"/>
    </row>
    <row r="673" spans="1:4" ht="18.75" x14ac:dyDescent="0.25">
      <c r="A673" s="82"/>
      <c r="B673" s="110"/>
      <c r="C673" s="83"/>
      <c r="D673" s="67"/>
    </row>
    <row r="674" spans="1:4" ht="18.75" x14ac:dyDescent="0.25">
      <c r="A674" s="82"/>
      <c r="B674" s="110"/>
      <c r="C674" s="83"/>
      <c r="D674" s="67"/>
    </row>
    <row r="675" spans="1:4" ht="18.75" x14ac:dyDescent="0.25">
      <c r="A675" s="82"/>
      <c r="B675" s="110"/>
      <c r="C675" s="83"/>
      <c r="D675" s="67"/>
    </row>
    <row r="676" spans="1:4" ht="18.75" x14ac:dyDescent="0.25">
      <c r="A676" s="82"/>
      <c r="B676" s="110"/>
      <c r="C676" s="83"/>
      <c r="D676" s="67"/>
    </row>
    <row r="677" spans="1:4" ht="18.75" x14ac:dyDescent="0.25">
      <c r="A677" s="82"/>
      <c r="B677" s="110"/>
      <c r="C677" s="83"/>
      <c r="D677" s="67"/>
    </row>
    <row r="678" spans="1:4" ht="18.75" x14ac:dyDescent="0.25">
      <c r="A678" s="82"/>
      <c r="B678" s="110"/>
      <c r="C678" s="83"/>
      <c r="D678" s="67"/>
    </row>
    <row r="679" spans="1:4" ht="18.75" x14ac:dyDescent="0.25">
      <c r="A679" s="82"/>
      <c r="B679" s="110"/>
      <c r="C679" s="83"/>
      <c r="D679" s="67"/>
    </row>
    <row r="680" spans="1:4" ht="18.75" x14ac:dyDescent="0.25">
      <c r="A680" s="82"/>
      <c r="B680" s="110"/>
      <c r="C680" s="83"/>
      <c r="D680" s="67"/>
    </row>
    <row r="681" spans="1:4" ht="18.75" x14ac:dyDescent="0.25">
      <c r="A681" s="82"/>
      <c r="B681" s="110"/>
      <c r="C681" s="83"/>
      <c r="D681" s="67"/>
    </row>
    <row r="682" spans="1:4" ht="18.75" x14ac:dyDescent="0.25">
      <c r="A682" s="82"/>
      <c r="B682" s="110"/>
      <c r="C682" s="83"/>
      <c r="D682" s="67"/>
    </row>
    <row r="683" spans="1:4" ht="18.75" x14ac:dyDescent="0.25">
      <c r="A683" s="82"/>
      <c r="B683" s="110"/>
      <c r="C683" s="83"/>
      <c r="D683" s="67"/>
    </row>
    <row r="684" spans="1:4" ht="18.75" x14ac:dyDescent="0.25">
      <c r="A684" s="82"/>
      <c r="B684" s="110"/>
      <c r="C684" s="83"/>
      <c r="D684" s="67"/>
    </row>
    <row r="685" spans="1:4" ht="18.75" x14ac:dyDescent="0.25">
      <c r="A685" s="82"/>
      <c r="B685" s="110"/>
      <c r="C685" s="83"/>
      <c r="D685" s="67"/>
    </row>
    <row r="686" spans="1:4" ht="18.75" x14ac:dyDescent="0.25">
      <c r="A686" s="82"/>
      <c r="B686" s="110"/>
      <c r="C686" s="83"/>
      <c r="D686" s="67"/>
    </row>
    <row r="687" spans="1:4" ht="18.75" x14ac:dyDescent="0.25">
      <c r="A687" s="82"/>
      <c r="B687" s="110"/>
      <c r="C687" s="83"/>
      <c r="D687" s="67"/>
    </row>
    <row r="688" spans="1:4" ht="18.75" x14ac:dyDescent="0.25">
      <c r="A688" s="82"/>
      <c r="B688" s="110"/>
      <c r="C688" s="83"/>
      <c r="D688" s="67"/>
    </row>
    <row r="689" spans="1:4" ht="18.75" x14ac:dyDescent="0.25">
      <c r="A689" s="82"/>
      <c r="B689" s="110"/>
      <c r="C689" s="83"/>
      <c r="D689" s="67"/>
    </row>
    <row r="690" spans="1:4" ht="18.75" x14ac:dyDescent="0.25">
      <c r="A690" s="82"/>
      <c r="B690" s="110"/>
      <c r="C690" s="83"/>
      <c r="D690" s="67"/>
    </row>
    <row r="691" spans="1:4" ht="18.75" x14ac:dyDescent="0.25">
      <c r="A691" s="82"/>
      <c r="B691" s="110"/>
      <c r="C691" s="83"/>
      <c r="D691" s="67"/>
    </row>
    <row r="692" spans="1:4" ht="18.75" x14ac:dyDescent="0.25">
      <c r="A692" s="82"/>
      <c r="B692" s="110"/>
      <c r="C692" s="83"/>
      <c r="D692" s="67"/>
    </row>
    <row r="693" spans="1:4" ht="18.75" x14ac:dyDescent="0.25">
      <c r="A693" s="82"/>
      <c r="B693" s="110"/>
      <c r="C693" s="83"/>
      <c r="D693" s="67"/>
    </row>
    <row r="694" spans="1:4" ht="18.75" x14ac:dyDescent="0.25">
      <c r="A694" s="82"/>
      <c r="B694" s="110"/>
      <c r="C694" s="83"/>
      <c r="D694" s="67"/>
    </row>
    <row r="695" spans="1:4" ht="18.75" x14ac:dyDescent="0.25">
      <c r="A695" s="82"/>
      <c r="B695" s="110"/>
      <c r="C695" s="83"/>
      <c r="D695" s="67"/>
    </row>
    <row r="696" spans="1:4" ht="18.75" x14ac:dyDescent="0.25">
      <c r="A696" s="82"/>
      <c r="B696" s="110"/>
      <c r="C696" s="83"/>
      <c r="D696" s="67"/>
    </row>
    <row r="697" spans="1:4" ht="18.75" x14ac:dyDescent="0.25">
      <c r="A697" s="82"/>
      <c r="B697" s="110"/>
      <c r="C697" s="83"/>
      <c r="D697" s="67"/>
    </row>
    <row r="698" spans="1:4" ht="18.75" x14ac:dyDescent="0.25">
      <c r="A698" s="82"/>
      <c r="B698" s="110"/>
      <c r="C698" s="83"/>
      <c r="D698" s="67"/>
    </row>
    <row r="699" spans="1:4" ht="18.75" x14ac:dyDescent="0.25">
      <c r="A699" s="82"/>
      <c r="B699" s="110"/>
      <c r="C699" s="83"/>
      <c r="D699" s="67"/>
    </row>
    <row r="700" spans="1:4" ht="18.75" x14ac:dyDescent="0.25">
      <c r="A700" s="82"/>
      <c r="B700" s="110"/>
      <c r="C700" s="83"/>
      <c r="D700" s="67"/>
    </row>
    <row r="701" spans="1:4" ht="18.75" x14ac:dyDescent="0.25">
      <c r="A701" s="82"/>
      <c r="B701" s="110"/>
      <c r="C701" s="83"/>
      <c r="D701" s="67"/>
    </row>
    <row r="702" spans="1:4" ht="18.75" x14ac:dyDescent="0.25">
      <c r="A702" s="82"/>
      <c r="B702" s="110"/>
      <c r="C702" s="83"/>
      <c r="D702" s="67"/>
    </row>
    <row r="703" spans="1:4" ht="18.75" x14ac:dyDescent="0.25">
      <c r="A703" s="82"/>
      <c r="B703" s="110"/>
      <c r="C703" s="83"/>
      <c r="D703" s="67"/>
    </row>
    <row r="704" spans="1:4" ht="18.75" x14ac:dyDescent="0.25">
      <c r="A704" s="82"/>
      <c r="B704" s="110"/>
      <c r="C704" s="83"/>
      <c r="D704" s="67"/>
    </row>
    <row r="705" spans="1:4" ht="18.75" x14ac:dyDescent="0.25">
      <c r="A705" s="82"/>
      <c r="B705" s="110"/>
      <c r="C705" s="83"/>
      <c r="D705" s="67"/>
    </row>
    <row r="706" spans="1:4" ht="18.75" x14ac:dyDescent="0.25">
      <c r="A706" s="82"/>
      <c r="B706" s="110"/>
      <c r="C706" s="83"/>
      <c r="D706" s="67"/>
    </row>
    <row r="707" spans="1:4" ht="18.75" x14ac:dyDescent="0.25">
      <c r="A707" s="82"/>
      <c r="B707" s="110"/>
      <c r="C707" s="83"/>
      <c r="D707" s="67"/>
    </row>
    <row r="708" spans="1:4" ht="18.75" x14ac:dyDescent="0.25">
      <c r="A708" s="82"/>
      <c r="B708" s="110"/>
      <c r="C708" s="83"/>
      <c r="D708" s="67"/>
    </row>
    <row r="709" spans="1:4" ht="18.75" x14ac:dyDescent="0.25">
      <c r="A709" s="82"/>
      <c r="B709" s="110"/>
      <c r="C709" s="83"/>
      <c r="D709" s="67"/>
    </row>
    <row r="710" spans="1:4" ht="18.75" x14ac:dyDescent="0.25">
      <c r="A710" s="82"/>
      <c r="B710" s="110"/>
      <c r="C710" s="83"/>
      <c r="D710" s="67"/>
    </row>
    <row r="711" spans="1:4" ht="18.75" x14ac:dyDescent="0.25">
      <c r="A711" s="82"/>
      <c r="B711" s="110"/>
      <c r="C711" s="83"/>
      <c r="D711" s="67"/>
    </row>
    <row r="712" spans="1:4" ht="18.75" x14ac:dyDescent="0.25">
      <c r="A712" s="82"/>
      <c r="B712" s="110"/>
      <c r="C712" s="83"/>
      <c r="D712" s="67"/>
    </row>
    <row r="713" spans="1:4" ht="18.75" x14ac:dyDescent="0.25">
      <c r="A713" s="82"/>
      <c r="B713" s="110"/>
      <c r="C713" s="83"/>
      <c r="D713" s="67"/>
    </row>
    <row r="714" spans="1:4" ht="18.75" x14ac:dyDescent="0.25">
      <c r="A714" s="82"/>
      <c r="B714" s="110"/>
      <c r="C714" s="83"/>
      <c r="D714" s="67"/>
    </row>
    <row r="715" spans="1:4" ht="18.75" x14ac:dyDescent="0.25">
      <c r="A715" s="82"/>
      <c r="B715" s="110"/>
      <c r="C715" s="83"/>
      <c r="D715" s="67"/>
    </row>
    <row r="716" spans="1:4" ht="18.75" x14ac:dyDescent="0.25">
      <c r="A716" s="82"/>
      <c r="B716" s="110"/>
      <c r="C716" s="83"/>
      <c r="D716" s="67"/>
    </row>
    <row r="717" spans="1:4" ht="18.75" x14ac:dyDescent="0.25">
      <c r="A717" s="82"/>
      <c r="B717" s="110"/>
      <c r="C717" s="83"/>
      <c r="D717" s="67"/>
    </row>
    <row r="718" spans="1:4" ht="18.75" x14ac:dyDescent="0.25">
      <c r="A718" s="82"/>
      <c r="B718" s="110"/>
      <c r="C718" s="83"/>
      <c r="D718" s="67"/>
    </row>
    <row r="719" spans="1:4" ht="18.75" x14ac:dyDescent="0.25">
      <c r="A719" s="82"/>
      <c r="B719" s="110"/>
      <c r="C719" s="83"/>
      <c r="D719" s="67"/>
    </row>
    <row r="720" spans="1:4" ht="18.75" x14ac:dyDescent="0.25">
      <c r="A720" s="82"/>
      <c r="B720" s="110"/>
      <c r="C720" s="83"/>
      <c r="D720" s="67"/>
    </row>
    <row r="721" spans="1:4" ht="18.75" x14ac:dyDescent="0.25">
      <c r="A721" s="82"/>
      <c r="B721" s="110"/>
      <c r="C721" s="83"/>
      <c r="D721" s="67"/>
    </row>
    <row r="722" spans="1:4" ht="18.75" x14ac:dyDescent="0.25">
      <c r="A722" s="82"/>
      <c r="B722" s="110"/>
      <c r="C722" s="83"/>
      <c r="D722" s="67"/>
    </row>
    <row r="723" spans="1:4" ht="18.75" x14ac:dyDescent="0.25">
      <c r="A723" s="82"/>
      <c r="B723" s="110"/>
      <c r="C723" s="83"/>
      <c r="D723" s="67"/>
    </row>
    <row r="724" spans="1:4" ht="18.75" x14ac:dyDescent="0.25">
      <c r="A724" s="82"/>
      <c r="B724" s="110"/>
      <c r="C724" s="83"/>
      <c r="D724" s="67"/>
    </row>
    <row r="725" spans="1:4" ht="18.75" x14ac:dyDescent="0.25">
      <c r="A725" s="82"/>
      <c r="B725" s="110"/>
      <c r="C725" s="83"/>
      <c r="D725" s="67"/>
    </row>
    <row r="726" spans="1:4" ht="18.75" x14ac:dyDescent="0.25">
      <c r="A726" s="82"/>
      <c r="B726" s="110"/>
      <c r="C726" s="83"/>
      <c r="D726" s="67"/>
    </row>
    <row r="727" spans="1:4" ht="18.75" x14ac:dyDescent="0.25">
      <c r="A727" s="82"/>
      <c r="B727" s="110"/>
      <c r="C727" s="83"/>
      <c r="D727" s="67"/>
    </row>
    <row r="728" spans="1:4" ht="18.75" x14ac:dyDescent="0.25">
      <c r="A728" s="82"/>
      <c r="B728" s="110"/>
      <c r="C728" s="83"/>
      <c r="D728" s="67"/>
    </row>
    <row r="729" spans="1:4" ht="18.75" x14ac:dyDescent="0.25">
      <c r="A729" s="82"/>
      <c r="B729" s="110"/>
      <c r="C729" s="83"/>
      <c r="D729" s="67"/>
    </row>
    <row r="730" spans="1:4" ht="18.75" x14ac:dyDescent="0.25">
      <c r="A730" s="82"/>
      <c r="B730" s="110"/>
      <c r="C730" s="83"/>
      <c r="D730" s="67"/>
    </row>
    <row r="731" spans="1:4" ht="18.75" x14ac:dyDescent="0.25">
      <c r="A731" s="82"/>
      <c r="B731" s="110"/>
      <c r="C731" s="83"/>
      <c r="D731" s="67"/>
    </row>
    <row r="732" spans="1:4" ht="18.75" x14ac:dyDescent="0.25">
      <c r="A732" s="82"/>
      <c r="B732" s="110"/>
      <c r="C732" s="83"/>
      <c r="D732" s="67"/>
    </row>
    <row r="733" spans="1:4" ht="18.75" x14ac:dyDescent="0.25">
      <c r="A733" s="82"/>
      <c r="B733" s="110"/>
      <c r="C733" s="83"/>
      <c r="D733" s="67"/>
    </row>
    <row r="734" spans="1:4" ht="18.75" x14ac:dyDescent="0.25">
      <c r="A734" s="82"/>
      <c r="B734" s="110"/>
      <c r="C734" s="83"/>
      <c r="D734" s="67"/>
    </row>
    <row r="735" spans="1:4" ht="18.75" x14ac:dyDescent="0.25">
      <c r="A735" s="82"/>
      <c r="B735" s="110"/>
      <c r="C735" s="83"/>
      <c r="D735" s="67"/>
    </row>
    <row r="736" spans="1:4" ht="18.75" x14ac:dyDescent="0.25">
      <c r="A736" s="82"/>
      <c r="B736" s="110"/>
      <c r="C736" s="83"/>
      <c r="D736" s="67"/>
    </row>
    <row r="737" spans="1:4" ht="18.75" x14ac:dyDescent="0.25">
      <c r="A737" s="82"/>
      <c r="B737" s="110"/>
      <c r="C737" s="83"/>
      <c r="D737" s="67"/>
    </row>
    <row r="738" spans="1:4" ht="18.75" x14ac:dyDescent="0.25">
      <c r="A738" s="82"/>
      <c r="B738" s="110"/>
      <c r="C738" s="83"/>
      <c r="D738" s="67"/>
    </row>
    <row r="739" spans="1:4" ht="18.75" x14ac:dyDescent="0.25">
      <c r="A739" s="82"/>
      <c r="B739" s="110"/>
      <c r="C739" s="83"/>
      <c r="D739" s="67"/>
    </row>
    <row r="740" spans="1:4" ht="18.75" x14ac:dyDescent="0.25">
      <c r="A740" s="82"/>
      <c r="B740" s="110"/>
      <c r="C740" s="83"/>
      <c r="D740" s="67"/>
    </row>
    <row r="741" spans="1:4" ht="18.75" x14ac:dyDescent="0.25">
      <c r="A741" s="82"/>
      <c r="B741" s="110"/>
      <c r="C741" s="83"/>
      <c r="D741" s="67"/>
    </row>
    <row r="742" spans="1:4" ht="18.75" x14ac:dyDescent="0.25">
      <c r="A742" s="82"/>
      <c r="B742" s="110"/>
      <c r="C742" s="83"/>
      <c r="D742" s="67"/>
    </row>
    <row r="743" spans="1:4" ht="18.75" x14ac:dyDescent="0.25">
      <c r="A743" s="82"/>
      <c r="B743" s="110"/>
      <c r="C743" s="83"/>
      <c r="D743" s="67"/>
    </row>
    <row r="744" spans="1:4" ht="18.75" x14ac:dyDescent="0.25">
      <c r="A744" s="82"/>
      <c r="B744" s="110"/>
      <c r="C744" s="83"/>
      <c r="D744" s="67"/>
    </row>
    <row r="745" spans="1:4" ht="18.75" x14ac:dyDescent="0.25">
      <c r="A745" s="82"/>
      <c r="B745" s="110"/>
      <c r="C745" s="83"/>
      <c r="D745" s="67"/>
    </row>
    <row r="746" spans="1:4" ht="18.75" x14ac:dyDescent="0.25">
      <c r="A746" s="82"/>
      <c r="B746" s="110"/>
      <c r="C746" s="83"/>
      <c r="D746" s="67"/>
    </row>
    <row r="747" spans="1:4" ht="18.75" x14ac:dyDescent="0.25">
      <c r="A747" s="82"/>
      <c r="B747" s="110"/>
      <c r="C747" s="83"/>
      <c r="D747" s="67"/>
    </row>
    <row r="748" spans="1:4" ht="18.75" x14ac:dyDescent="0.25">
      <c r="A748" s="82"/>
      <c r="B748" s="110"/>
      <c r="C748" s="83"/>
      <c r="D748" s="67"/>
    </row>
    <row r="749" spans="1:4" ht="18.75" x14ac:dyDescent="0.25">
      <c r="A749" s="82"/>
      <c r="B749" s="110"/>
      <c r="C749" s="83"/>
      <c r="D749" s="67"/>
    </row>
    <row r="750" spans="1:4" ht="18.75" x14ac:dyDescent="0.25">
      <c r="A750" s="82"/>
      <c r="B750" s="110"/>
      <c r="C750" s="83"/>
      <c r="D750" s="67"/>
    </row>
    <row r="751" spans="1:4" ht="18.75" x14ac:dyDescent="0.25">
      <c r="A751" s="82"/>
      <c r="B751" s="110"/>
      <c r="C751" s="83"/>
      <c r="D751" s="67"/>
    </row>
    <row r="752" spans="1:4" ht="18.75" x14ac:dyDescent="0.25">
      <c r="A752" s="82"/>
      <c r="B752" s="110"/>
      <c r="C752" s="83"/>
      <c r="D752" s="67"/>
    </row>
    <row r="753" spans="1:4" ht="18.75" x14ac:dyDescent="0.25">
      <c r="A753" s="82"/>
      <c r="B753" s="110"/>
      <c r="C753" s="83"/>
      <c r="D753" s="67"/>
    </row>
    <row r="754" spans="1:4" ht="18.75" x14ac:dyDescent="0.25">
      <c r="A754" s="82"/>
      <c r="B754" s="110"/>
      <c r="C754" s="83"/>
      <c r="D754" s="67"/>
    </row>
    <row r="755" spans="1:4" ht="18.75" x14ac:dyDescent="0.25">
      <c r="A755" s="82"/>
      <c r="B755" s="110"/>
      <c r="C755" s="83"/>
      <c r="D755" s="67"/>
    </row>
    <row r="756" spans="1:4" ht="18.75" x14ac:dyDescent="0.25">
      <c r="A756" s="82"/>
      <c r="B756" s="110"/>
      <c r="C756" s="83"/>
      <c r="D756" s="67"/>
    </row>
    <row r="757" spans="1:4" ht="18.75" x14ac:dyDescent="0.25">
      <c r="A757" s="82"/>
      <c r="B757" s="110"/>
      <c r="C757" s="83"/>
      <c r="D757" s="67"/>
    </row>
    <row r="758" spans="1:4" ht="18.75" x14ac:dyDescent="0.25">
      <c r="A758" s="82"/>
      <c r="B758" s="110"/>
      <c r="C758" s="83"/>
      <c r="D758" s="67"/>
    </row>
    <row r="759" spans="1:4" ht="18.75" x14ac:dyDescent="0.25">
      <c r="A759" s="82"/>
      <c r="B759" s="110"/>
      <c r="C759" s="83"/>
      <c r="D759" s="67"/>
    </row>
    <row r="760" spans="1:4" ht="18.75" x14ac:dyDescent="0.25">
      <c r="A760" s="82"/>
      <c r="B760" s="110"/>
      <c r="C760" s="83"/>
      <c r="D760" s="67"/>
    </row>
    <row r="761" spans="1:4" ht="18.75" x14ac:dyDescent="0.25">
      <c r="A761" s="82"/>
      <c r="B761" s="110"/>
      <c r="C761" s="83"/>
      <c r="D761" s="67"/>
    </row>
    <row r="762" spans="1:4" ht="18.75" x14ac:dyDescent="0.25">
      <c r="A762" s="82"/>
      <c r="B762" s="110"/>
      <c r="C762" s="83"/>
      <c r="D762" s="67"/>
    </row>
    <row r="763" spans="1:4" ht="18.75" x14ac:dyDescent="0.25">
      <c r="A763" s="82"/>
      <c r="B763" s="110"/>
      <c r="C763" s="83"/>
      <c r="D763" s="67"/>
    </row>
    <row r="764" spans="1:4" ht="18.75" x14ac:dyDescent="0.25">
      <c r="A764" s="82"/>
      <c r="B764" s="110"/>
      <c r="C764" s="83"/>
      <c r="D764" s="67"/>
    </row>
    <row r="765" spans="1:4" ht="18.75" x14ac:dyDescent="0.25">
      <c r="A765" s="82"/>
      <c r="B765" s="110"/>
      <c r="C765" s="83"/>
      <c r="D765" s="67"/>
    </row>
    <row r="766" spans="1:4" ht="18.75" x14ac:dyDescent="0.25">
      <c r="A766" s="82"/>
      <c r="B766" s="110"/>
      <c r="C766" s="83"/>
      <c r="D766" s="67"/>
    </row>
    <row r="767" spans="1:4" ht="18.75" x14ac:dyDescent="0.25">
      <c r="A767" s="82"/>
      <c r="B767" s="110"/>
      <c r="C767" s="83"/>
      <c r="D767" s="67"/>
    </row>
    <row r="768" spans="1:4" ht="18.75" x14ac:dyDescent="0.25">
      <c r="A768" s="82"/>
      <c r="B768" s="110"/>
      <c r="C768" s="83"/>
      <c r="D768" s="67"/>
    </row>
    <row r="769" spans="1:4" ht="18.75" x14ac:dyDescent="0.25">
      <c r="A769" s="82"/>
      <c r="B769" s="110"/>
      <c r="C769" s="83"/>
      <c r="D769" s="67"/>
    </row>
    <row r="770" spans="1:4" ht="18.75" x14ac:dyDescent="0.25">
      <c r="A770" s="82"/>
      <c r="B770" s="110"/>
      <c r="C770" s="83"/>
      <c r="D770" s="67"/>
    </row>
    <row r="771" spans="1:4" ht="18.75" x14ac:dyDescent="0.25">
      <c r="A771" s="82"/>
      <c r="B771" s="110"/>
      <c r="C771" s="83"/>
      <c r="D771" s="67"/>
    </row>
    <row r="772" spans="1:4" ht="18.75" x14ac:dyDescent="0.25">
      <c r="A772" s="82"/>
      <c r="B772" s="110"/>
      <c r="C772" s="83"/>
      <c r="D772" s="67"/>
    </row>
    <row r="773" spans="1:4" ht="18.75" x14ac:dyDescent="0.25">
      <c r="A773" s="82"/>
      <c r="B773" s="110"/>
      <c r="C773" s="83"/>
      <c r="D773" s="67"/>
    </row>
    <row r="774" spans="1:4" ht="18.75" x14ac:dyDescent="0.25">
      <c r="A774" s="82"/>
      <c r="B774" s="110"/>
      <c r="C774" s="83"/>
      <c r="D774" s="67"/>
    </row>
    <row r="775" spans="1:4" ht="18.75" x14ac:dyDescent="0.25">
      <c r="A775" s="82"/>
      <c r="B775" s="110"/>
      <c r="C775" s="83"/>
      <c r="D775" s="67"/>
    </row>
    <row r="776" spans="1:4" ht="18.75" x14ac:dyDescent="0.25">
      <c r="A776" s="82"/>
      <c r="B776" s="110"/>
      <c r="C776" s="83"/>
      <c r="D776" s="67"/>
    </row>
    <row r="777" spans="1:4" ht="18.75" x14ac:dyDescent="0.25">
      <c r="A777" s="82"/>
      <c r="B777" s="110"/>
      <c r="C777" s="83"/>
      <c r="D777" s="67"/>
    </row>
    <row r="778" spans="1:4" ht="18.75" x14ac:dyDescent="0.25">
      <c r="A778" s="82"/>
      <c r="B778" s="110"/>
      <c r="C778" s="83"/>
      <c r="D778" s="67"/>
    </row>
    <row r="779" spans="1:4" ht="18.75" x14ac:dyDescent="0.25">
      <c r="A779" s="82"/>
      <c r="B779" s="110"/>
      <c r="C779" s="83"/>
      <c r="D779" s="67"/>
    </row>
    <row r="780" spans="1:4" ht="18.75" x14ac:dyDescent="0.25">
      <c r="A780" s="82"/>
      <c r="B780" s="110"/>
      <c r="C780" s="83"/>
      <c r="D780" s="67"/>
    </row>
    <row r="781" spans="1:4" ht="18.75" x14ac:dyDescent="0.25">
      <c r="A781" s="82"/>
      <c r="B781" s="110"/>
      <c r="C781" s="83"/>
      <c r="D781" s="67"/>
    </row>
    <row r="782" spans="1:4" ht="18.75" x14ac:dyDescent="0.25">
      <c r="A782" s="82"/>
      <c r="B782" s="110"/>
      <c r="C782" s="83"/>
      <c r="D782" s="67"/>
    </row>
    <row r="783" spans="1:4" ht="18.75" x14ac:dyDescent="0.25">
      <c r="A783" s="82"/>
      <c r="B783" s="110"/>
      <c r="C783" s="83"/>
      <c r="D783" s="67"/>
    </row>
    <row r="784" spans="1:4" ht="18.75" x14ac:dyDescent="0.25">
      <c r="A784" s="82"/>
      <c r="B784" s="110"/>
      <c r="C784" s="83"/>
      <c r="D784" s="67"/>
    </row>
    <row r="785" spans="1:4" ht="18.75" x14ac:dyDescent="0.25">
      <c r="A785" s="82"/>
      <c r="B785" s="110"/>
      <c r="C785" s="83"/>
      <c r="D785" s="67"/>
    </row>
    <row r="786" spans="1:4" ht="18.75" x14ac:dyDescent="0.25">
      <c r="A786" s="82"/>
      <c r="B786" s="110"/>
      <c r="C786" s="83"/>
      <c r="D786" s="67"/>
    </row>
    <row r="787" spans="1:4" ht="18.75" x14ac:dyDescent="0.25">
      <c r="A787" s="82"/>
      <c r="B787" s="110"/>
      <c r="C787" s="83"/>
      <c r="D787" s="67"/>
    </row>
    <row r="788" spans="1:4" ht="18.75" x14ac:dyDescent="0.25">
      <c r="A788" s="82"/>
      <c r="B788" s="110"/>
      <c r="C788" s="83"/>
      <c r="D788" s="67"/>
    </row>
    <row r="789" spans="1:4" ht="18.75" x14ac:dyDescent="0.25">
      <c r="A789" s="82"/>
      <c r="B789" s="110"/>
      <c r="C789" s="83"/>
      <c r="D789" s="67"/>
    </row>
    <row r="790" spans="1:4" ht="18.75" x14ac:dyDescent="0.25">
      <c r="A790" s="82"/>
      <c r="B790" s="110"/>
      <c r="C790" s="83"/>
      <c r="D790" s="67"/>
    </row>
    <row r="791" spans="1:4" ht="18.75" x14ac:dyDescent="0.25">
      <c r="A791" s="82"/>
      <c r="B791" s="110"/>
      <c r="C791" s="83"/>
      <c r="D791" s="67"/>
    </row>
    <row r="792" spans="1:4" ht="18.75" x14ac:dyDescent="0.25">
      <c r="A792" s="82"/>
      <c r="B792" s="110"/>
      <c r="C792" s="83"/>
      <c r="D792" s="67"/>
    </row>
    <row r="793" spans="1:4" ht="18.75" x14ac:dyDescent="0.25">
      <c r="A793" s="82"/>
      <c r="B793" s="110"/>
      <c r="C793" s="83"/>
      <c r="D793" s="67"/>
    </row>
    <row r="794" spans="1:4" ht="18.75" x14ac:dyDescent="0.25">
      <c r="A794" s="82"/>
      <c r="B794" s="110"/>
      <c r="C794" s="83"/>
      <c r="D794" s="67"/>
    </row>
    <row r="795" spans="1:4" ht="18.75" x14ac:dyDescent="0.25">
      <c r="A795" s="82"/>
      <c r="B795" s="110"/>
      <c r="C795" s="83"/>
      <c r="D795" s="67"/>
    </row>
    <row r="796" spans="1:4" ht="18.75" x14ac:dyDescent="0.25">
      <c r="A796" s="82"/>
      <c r="B796" s="110"/>
      <c r="C796" s="83"/>
      <c r="D796" s="67"/>
    </row>
    <row r="797" spans="1:4" ht="18.75" x14ac:dyDescent="0.25">
      <c r="A797" s="82"/>
      <c r="B797" s="110"/>
      <c r="C797" s="83"/>
      <c r="D797" s="67"/>
    </row>
    <row r="798" spans="1:4" ht="18.75" x14ac:dyDescent="0.25">
      <c r="A798" s="82"/>
      <c r="B798" s="110"/>
      <c r="C798" s="83"/>
      <c r="D798" s="67"/>
    </row>
    <row r="799" spans="1:4" ht="18.75" x14ac:dyDescent="0.25">
      <c r="A799" s="82"/>
      <c r="B799" s="110"/>
      <c r="C799" s="83"/>
      <c r="D799" s="67"/>
    </row>
    <row r="800" spans="1:4" ht="18.75" x14ac:dyDescent="0.25">
      <c r="A800" s="82"/>
      <c r="B800" s="110"/>
      <c r="C800" s="83"/>
      <c r="D800" s="67"/>
    </row>
    <row r="801" spans="1:4" ht="18.75" x14ac:dyDescent="0.25">
      <c r="A801" s="82"/>
      <c r="B801" s="110"/>
      <c r="C801" s="83"/>
      <c r="D801" s="67"/>
    </row>
    <row r="802" spans="1:4" ht="18.75" x14ac:dyDescent="0.25">
      <c r="A802" s="82"/>
      <c r="B802" s="110"/>
      <c r="C802" s="83"/>
      <c r="D802" s="67"/>
    </row>
    <row r="803" spans="1:4" ht="18.75" x14ac:dyDescent="0.25">
      <c r="A803" s="82"/>
      <c r="B803" s="110"/>
      <c r="C803" s="83"/>
      <c r="D803" s="67"/>
    </row>
    <row r="804" spans="1:4" ht="18.75" x14ac:dyDescent="0.25">
      <c r="A804" s="82"/>
      <c r="B804" s="110"/>
      <c r="C804" s="83"/>
      <c r="D804" s="67"/>
    </row>
    <row r="805" spans="1:4" ht="18.75" x14ac:dyDescent="0.25">
      <c r="A805" s="82"/>
      <c r="B805" s="110"/>
      <c r="C805" s="83"/>
      <c r="D805" s="67"/>
    </row>
    <row r="806" spans="1:4" ht="18.75" x14ac:dyDescent="0.25">
      <c r="A806" s="82"/>
      <c r="B806" s="110"/>
      <c r="C806" s="83"/>
      <c r="D806" s="67"/>
    </row>
    <row r="807" spans="1:4" ht="18.75" x14ac:dyDescent="0.25">
      <c r="A807" s="82"/>
      <c r="B807" s="110"/>
      <c r="C807" s="83"/>
      <c r="D807" s="67"/>
    </row>
    <row r="808" spans="1:4" ht="18.75" x14ac:dyDescent="0.25">
      <c r="A808" s="82"/>
      <c r="B808" s="110"/>
      <c r="C808" s="83"/>
      <c r="D808" s="67"/>
    </row>
    <row r="809" spans="1:4" ht="18.75" x14ac:dyDescent="0.25">
      <c r="A809" s="82"/>
      <c r="B809" s="110"/>
      <c r="C809" s="83"/>
      <c r="D809" s="67"/>
    </row>
    <row r="810" spans="1:4" ht="18.75" x14ac:dyDescent="0.25">
      <c r="A810" s="82"/>
      <c r="B810" s="110"/>
      <c r="C810" s="83"/>
      <c r="D810" s="67"/>
    </row>
    <row r="811" spans="1:4" ht="18.75" x14ac:dyDescent="0.25">
      <c r="A811" s="82"/>
      <c r="B811" s="110"/>
      <c r="C811" s="83"/>
      <c r="D811" s="67"/>
    </row>
    <row r="812" spans="1:4" ht="18.75" x14ac:dyDescent="0.25">
      <c r="A812" s="82"/>
      <c r="B812" s="110"/>
      <c r="C812" s="83"/>
      <c r="D812" s="67"/>
    </row>
    <row r="813" spans="1:4" ht="18.75" x14ac:dyDescent="0.25">
      <c r="A813" s="82"/>
      <c r="B813" s="110"/>
      <c r="C813" s="83"/>
      <c r="D813" s="67"/>
    </row>
    <row r="814" spans="1:4" ht="18.75" x14ac:dyDescent="0.25">
      <c r="A814" s="82"/>
      <c r="B814" s="110"/>
      <c r="C814" s="83"/>
      <c r="D814" s="67"/>
    </row>
    <row r="815" spans="1:4" ht="18.75" x14ac:dyDescent="0.25">
      <c r="A815" s="82"/>
      <c r="B815" s="110"/>
      <c r="C815" s="83"/>
      <c r="D815" s="67"/>
    </row>
    <row r="816" spans="1:4" ht="18.75" x14ac:dyDescent="0.25">
      <c r="A816" s="82"/>
      <c r="B816" s="110"/>
      <c r="C816" s="83"/>
      <c r="D816" s="67"/>
    </row>
    <row r="817" spans="1:4" ht="18.75" x14ac:dyDescent="0.25">
      <c r="A817" s="82"/>
      <c r="B817" s="110"/>
      <c r="C817" s="83"/>
      <c r="D817" s="67"/>
    </row>
    <row r="818" spans="1:4" ht="18.75" x14ac:dyDescent="0.25">
      <c r="A818" s="82"/>
      <c r="B818" s="110"/>
      <c r="C818" s="83"/>
      <c r="D818" s="67"/>
    </row>
    <row r="819" spans="1:4" ht="18.75" x14ac:dyDescent="0.25">
      <c r="A819" s="82"/>
      <c r="B819" s="110"/>
      <c r="C819" s="83"/>
      <c r="D819" s="67"/>
    </row>
    <row r="820" spans="1:4" ht="18.75" x14ac:dyDescent="0.25">
      <c r="A820" s="82"/>
      <c r="B820" s="110"/>
      <c r="C820" s="83"/>
      <c r="D820" s="67"/>
    </row>
    <row r="821" spans="1:4" ht="18.75" x14ac:dyDescent="0.25">
      <c r="A821" s="82"/>
      <c r="B821" s="110"/>
      <c r="C821" s="83"/>
      <c r="D821" s="67"/>
    </row>
    <row r="822" spans="1:4" ht="18.75" x14ac:dyDescent="0.25">
      <c r="A822" s="82"/>
      <c r="B822" s="110"/>
      <c r="C822" s="83"/>
      <c r="D822" s="67"/>
    </row>
    <row r="823" spans="1:4" ht="18.75" x14ac:dyDescent="0.25">
      <c r="A823" s="82"/>
      <c r="B823" s="110"/>
      <c r="C823" s="83"/>
      <c r="D823" s="67"/>
    </row>
    <row r="824" spans="1:4" ht="18.75" x14ac:dyDescent="0.25">
      <c r="A824" s="82"/>
      <c r="B824" s="110"/>
      <c r="C824" s="83"/>
      <c r="D824" s="67"/>
    </row>
    <row r="825" spans="1:4" ht="18.75" x14ac:dyDescent="0.25">
      <c r="A825" s="82"/>
      <c r="B825" s="110"/>
      <c r="C825" s="83"/>
      <c r="D825" s="67"/>
    </row>
    <row r="826" spans="1:4" ht="18.75" x14ac:dyDescent="0.25">
      <c r="A826" s="82"/>
      <c r="B826" s="110"/>
      <c r="C826" s="83"/>
      <c r="D826" s="67"/>
    </row>
    <row r="827" spans="1:4" ht="18.75" x14ac:dyDescent="0.25">
      <c r="A827" s="82"/>
      <c r="B827" s="110"/>
      <c r="C827" s="83"/>
      <c r="D827" s="67"/>
    </row>
    <row r="828" spans="1:4" ht="18.75" x14ac:dyDescent="0.25">
      <c r="A828" s="82"/>
      <c r="B828" s="110"/>
      <c r="C828" s="83"/>
      <c r="D828" s="67"/>
    </row>
    <row r="829" spans="1:4" ht="18.75" x14ac:dyDescent="0.25">
      <c r="A829" s="82"/>
      <c r="B829" s="110"/>
      <c r="C829" s="83"/>
      <c r="D829" s="67"/>
    </row>
    <row r="830" spans="1:4" ht="18.75" x14ac:dyDescent="0.25">
      <c r="A830" s="82"/>
      <c r="B830" s="110"/>
      <c r="C830" s="83"/>
      <c r="D830" s="67"/>
    </row>
    <row r="831" spans="1:4" ht="18.75" x14ac:dyDescent="0.25">
      <c r="A831" s="82"/>
      <c r="B831" s="110"/>
      <c r="C831" s="83"/>
      <c r="D831" s="67"/>
    </row>
    <row r="832" spans="1:4" ht="18.75" x14ac:dyDescent="0.25">
      <c r="A832" s="82"/>
      <c r="B832" s="110"/>
      <c r="C832" s="83"/>
      <c r="D832" s="67"/>
    </row>
    <row r="833" spans="1:4" ht="18.75" x14ac:dyDescent="0.25">
      <c r="A833" s="82"/>
      <c r="B833" s="110"/>
      <c r="C833" s="83"/>
      <c r="D833" s="67"/>
    </row>
    <row r="834" spans="1:4" ht="18.75" x14ac:dyDescent="0.25">
      <c r="A834" s="82"/>
      <c r="B834" s="110"/>
      <c r="C834" s="83"/>
      <c r="D834" s="67"/>
    </row>
    <row r="835" spans="1:4" ht="18.75" x14ac:dyDescent="0.25">
      <c r="A835" s="82"/>
      <c r="B835" s="110"/>
      <c r="C835" s="83"/>
      <c r="D835" s="67"/>
    </row>
    <row r="836" spans="1:4" ht="18.75" x14ac:dyDescent="0.25">
      <c r="A836" s="82"/>
      <c r="B836" s="110"/>
      <c r="C836" s="83"/>
      <c r="D836" s="67"/>
    </row>
    <row r="837" spans="1:4" ht="18.75" x14ac:dyDescent="0.25">
      <c r="A837" s="82"/>
      <c r="B837" s="110"/>
      <c r="C837" s="83"/>
      <c r="D837" s="67"/>
    </row>
    <row r="838" spans="1:4" ht="18.75" x14ac:dyDescent="0.25">
      <c r="A838" s="82"/>
      <c r="B838" s="110"/>
      <c r="C838" s="83"/>
      <c r="D838" s="67"/>
    </row>
    <row r="839" spans="1:4" ht="18.75" x14ac:dyDescent="0.25">
      <c r="A839" s="82"/>
      <c r="B839" s="110"/>
      <c r="C839" s="83"/>
      <c r="D839" s="67"/>
    </row>
    <row r="840" spans="1:4" ht="18.75" x14ac:dyDescent="0.25">
      <c r="A840" s="82"/>
      <c r="B840" s="110"/>
      <c r="C840" s="83"/>
      <c r="D840" s="67"/>
    </row>
    <row r="841" spans="1:4" ht="18.75" x14ac:dyDescent="0.25">
      <c r="A841" s="82"/>
      <c r="B841" s="110"/>
      <c r="C841" s="83"/>
      <c r="D841" s="67"/>
    </row>
    <row r="842" spans="1:4" ht="18.75" x14ac:dyDescent="0.25">
      <c r="A842" s="82"/>
      <c r="B842" s="110"/>
      <c r="C842" s="83"/>
      <c r="D842" s="67"/>
    </row>
    <row r="843" spans="1:4" ht="18.75" x14ac:dyDescent="0.25">
      <c r="A843" s="82"/>
      <c r="B843" s="110"/>
      <c r="C843" s="83"/>
      <c r="D843" s="67"/>
    </row>
    <row r="844" spans="1:4" ht="18.75" x14ac:dyDescent="0.25">
      <c r="A844" s="82"/>
      <c r="B844" s="110"/>
      <c r="C844" s="83"/>
      <c r="D844" s="67"/>
    </row>
    <row r="845" spans="1:4" ht="18.75" x14ac:dyDescent="0.25">
      <c r="A845" s="82"/>
      <c r="B845" s="110"/>
      <c r="C845" s="83"/>
      <c r="D845" s="67"/>
    </row>
    <row r="846" spans="1:4" ht="18.75" x14ac:dyDescent="0.25">
      <c r="A846" s="82"/>
      <c r="B846" s="110"/>
      <c r="C846" s="83"/>
      <c r="D846" s="67"/>
    </row>
    <row r="847" spans="1:4" ht="18.75" x14ac:dyDescent="0.25">
      <c r="A847" s="82"/>
      <c r="B847" s="110"/>
      <c r="C847" s="83"/>
      <c r="D847" s="67"/>
    </row>
    <row r="848" spans="1:4" ht="18.75" x14ac:dyDescent="0.25">
      <c r="A848" s="82"/>
      <c r="B848" s="110"/>
      <c r="C848" s="83"/>
      <c r="D848" s="67"/>
    </row>
    <row r="849" spans="1:4" ht="18.75" x14ac:dyDescent="0.25">
      <c r="A849" s="82"/>
      <c r="B849" s="110"/>
      <c r="C849" s="83"/>
      <c r="D849" s="67"/>
    </row>
    <row r="850" spans="1:4" ht="18.75" x14ac:dyDescent="0.25">
      <c r="A850" s="82"/>
      <c r="B850" s="110"/>
      <c r="C850" s="83"/>
      <c r="D850" s="67"/>
    </row>
    <row r="851" spans="1:4" ht="18.75" x14ac:dyDescent="0.25">
      <c r="A851" s="82"/>
      <c r="B851" s="110"/>
      <c r="C851" s="83"/>
      <c r="D851" s="67"/>
    </row>
    <row r="852" spans="1:4" ht="18.75" x14ac:dyDescent="0.25">
      <c r="A852" s="82"/>
      <c r="B852" s="110"/>
      <c r="C852" s="83"/>
      <c r="D852" s="67"/>
    </row>
    <row r="853" spans="1:4" ht="18.75" x14ac:dyDescent="0.25">
      <c r="A853" s="82"/>
      <c r="B853" s="110"/>
      <c r="C853" s="83"/>
      <c r="D853" s="67"/>
    </row>
    <row r="854" spans="1:4" ht="18.75" x14ac:dyDescent="0.25">
      <c r="A854" s="82"/>
      <c r="B854" s="110"/>
      <c r="C854" s="83"/>
      <c r="D854" s="67"/>
    </row>
    <row r="855" spans="1:4" ht="18.75" x14ac:dyDescent="0.25">
      <c r="A855" s="82"/>
      <c r="B855" s="110"/>
      <c r="C855" s="83"/>
      <c r="D855" s="67"/>
    </row>
    <row r="856" spans="1:4" ht="18.75" x14ac:dyDescent="0.25">
      <c r="A856" s="82"/>
      <c r="B856" s="110"/>
      <c r="C856" s="83"/>
      <c r="D856" s="67"/>
    </row>
    <row r="857" spans="1:4" ht="18.75" x14ac:dyDescent="0.25">
      <c r="A857" s="82"/>
      <c r="B857" s="110"/>
      <c r="C857" s="83"/>
      <c r="D857" s="67"/>
    </row>
    <row r="858" spans="1:4" ht="18.75" x14ac:dyDescent="0.25">
      <c r="A858" s="82"/>
      <c r="B858" s="110"/>
      <c r="C858" s="83"/>
      <c r="D858" s="67"/>
    </row>
    <row r="859" spans="1:4" ht="18.75" x14ac:dyDescent="0.25">
      <c r="A859" s="82"/>
      <c r="B859" s="110"/>
      <c r="C859" s="83"/>
      <c r="D859" s="67"/>
    </row>
    <row r="860" spans="1:4" ht="18.75" x14ac:dyDescent="0.25">
      <c r="A860" s="82"/>
      <c r="B860" s="110"/>
      <c r="C860" s="83"/>
      <c r="D860" s="67"/>
    </row>
    <row r="861" spans="1:4" ht="18.75" x14ac:dyDescent="0.25">
      <c r="A861" s="82"/>
      <c r="B861" s="110"/>
      <c r="C861" s="83"/>
      <c r="D861" s="67"/>
    </row>
    <row r="862" spans="1:4" ht="18.75" x14ac:dyDescent="0.25">
      <c r="A862" s="82"/>
      <c r="B862" s="110"/>
      <c r="C862" s="83"/>
      <c r="D862" s="67"/>
    </row>
    <row r="863" spans="1:4" ht="18.75" x14ac:dyDescent="0.25">
      <c r="A863" s="82"/>
      <c r="B863" s="110"/>
      <c r="C863" s="83"/>
      <c r="D863" s="67"/>
    </row>
    <row r="864" spans="1:4" ht="18.75" x14ac:dyDescent="0.25">
      <c r="A864" s="82"/>
      <c r="B864" s="110"/>
      <c r="C864" s="83"/>
      <c r="D864" s="67"/>
    </row>
    <row r="865" spans="1:4" ht="18.75" x14ac:dyDescent="0.25">
      <c r="A865" s="82"/>
      <c r="B865" s="110"/>
      <c r="C865" s="83"/>
      <c r="D865" s="67"/>
    </row>
    <row r="866" spans="1:4" ht="18.75" x14ac:dyDescent="0.25">
      <c r="A866" s="82"/>
      <c r="B866" s="110"/>
      <c r="C866" s="83"/>
      <c r="D866" s="67"/>
    </row>
    <row r="867" spans="1:4" ht="18.75" x14ac:dyDescent="0.25">
      <c r="A867" s="82"/>
      <c r="B867" s="110"/>
      <c r="C867" s="83"/>
      <c r="D867" s="67"/>
    </row>
    <row r="868" spans="1:4" ht="18.75" x14ac:dyDescent="0.25">
      <c r="A868" s="82"/>
      <c r="B868" s="110"/>
      <c r="C868" s="83"/>
      <c r="D868" s="67"/>
    </row>
    <row r="869" spans="1:4" ht="18.75" x14ac:dyDescent="0.25">
      <c r="A869" s="82"/>
      <c r="B869" s="110"/>
      <c r="C869" s="83"/>
      <c r="D869" s="67"/>
    </row>
    <row r="870" spans="1:4" ht="18.75" x14ac:dyDescent="0.25">
      <c r="A870" s="82"/>
      <c r="B870" s="110"/>
      <c r="C870" s="83"/>
      <c r="D870" s="67"/>
    </row>
    <row r="871" spans="1:4" ht="18.75" x14ac:dyDescent="0.25">
      <c r="A871" s="82"/>
      <c r="B871" s="110"/>
      <c r="C871" s="83"/>
      <c r="D871" s="67"/>
    </row>
    <row r="872" spans="1:4" ht="18.75" x14ac:dyDescent="0.25">
      <c r="A872" s="82"/>
      <c r="B872" s="110"/>
      <c r="C872" s="83"/>
      <c r="D872" s="67"/>
    </row>
    <row r="873" spans="1:4" ht="18.75" x14ac:dyDescent="0.25">
      <c r="A873" s="82"/>
      <c r="B873" s="110"/>
      <c r="C873" s="83"/>
      <c r="D873" s="67"/>
    </row>
    <row r="874" spans="1:4" ht="18.75" x14ac:dyDescent="0.25">
      <c r="A874" s="82"/>
      <c r="B874" s="110"/>
      <c r="C874" s="83"/>
      <c r="D874" s="67"/>
    </row>
    <row r="875" spans="1:4" ht="18.75" x14ac:dyDescent="0.25">
      <c r="A875" s="82"/>
      <c r="B875" s="110"/>
      <c r="C875" s="83"/>
      <c r="D875" s="67"/>
    </row>
    <row r="876" spans="1:4" ht="18.75" x14ac:dyDescent="0.25">
      <c r="A876" s="82"/>
      <c r="B876" s="110"/>
      <c r="C876" s="83"/>
      <c r="D876" s="67"/>
    </row>
    <row r="877" spans="1:4" ht="18.75" x14ac:dyDescent="0.25">
      <c r="A877" s="82"/>
      <c r="B877" s="110"/>
      <c r="C877" s="83"/>
      <c r="D877" s="67"/>
    </row>
    <row r="878" spans="1:4" ht="18.75" x14ac:dyDescent="0.25">
      <c r="A878" s="82"/>
      <c r="B878" s="110"/>
      <c r="C878" s="83"/>
      <c r="D878" s="67"/>
    </row>
    <row r="879" spans="1:4" ht="18.75" x14ac:dyDescent="0.25">
      <c r="A879" s="82"/>
      <c r="B879" s="110"/>
      <c r="C879" s="83"/>
      <c r="D879" s="67"/>
    </row>
    <row r="880" spans="1:4" ht="18.75" x14ac:dyDescent="0.25">
      <c r="A880" s="82"/>
      <c r="B880" s="110"/>
      <c r="C880" s="83"/>
      <c r="D880" s="67"/>
    </row>
    <row r="881" spans="1:4" ht="18.75" x14ac:dyDescent="0.25">
      <c r="A881" s="82"/>
      <c r="B881" s="110"/>
      <c r="C881" s="83"/>
      <c r="D881" s="67"/>
    </row>
    <row r="882" spans="1:4" ht="18.75" x14ac:dyDescent="0.25">
      <c r="A882" s="82"/>
      <c r="B882" s="110"/>
      <c r="C882" s="83"/>
      <c r="D882" s="67"/>
    </row>
    <row r="883" spans="1:4" ht="18.75" x14ac:dyDescent="0.25">
      <c r="A883" s="82"/>
      <c r="B883" s="110"/>
      <c r="C883" s="83"/>
      <c r="D883" s="67"/>
    </row>
    <row r="884" spans="1:4" ht="18.75" x14ac:dyDescent="0.25">
      <c r="A884" s="82"/>
      <c r="B884" s="110"/>
      <c r="C884" s="83"/>
      <c r="D884" s="67"/>
    </row>
    <row r="885" spans="1:4" ht="18.75" x14ac:dyDescent="0.25">
      <c r="A885" s="82"/>
      <c r="B885" s="110"/>
      <c r="C885" s="83"/>
      <c r="D885" s="67"/>
    </row>
    <row r="886" spans="1:4" ht="18.75" x14ac:dyDescent="0.25">
      <c r="A886" s="82"/>
      <c r="B886" s="110"/>
      <c r="C886" s="83"/>
      <c r="D886" s="67"/>
    </row>
    <row r="887" spans="1:4" ht="18.75" x14ac:dyDescent="0.25">
      <c r="A887" s="82"/>
      <c r="B887" s="110"/>
      <c r="C887" s="83"/>
      <c r="D887" s="67"/>
    </row>
    <row r="888" spans="1:4" ht="18.75" x14ac:dyDescent="0.25">
      <c r="A888" s="82"/>
      <c r="B888" s="110"/>
      <c r="C888" s="83"/>
      <c r="D888" s="67"/>
    </row>
    <row r="889" spans="1:4" ht="18.75" x14ac:dyDescent="0.25">
      <c r="A889" s="82"/>
      <c r="B889" s="110"/>
      <c r="C889" s="83"/>
      <c r="D889" s="67"/>
    </row>
    <row r="890" spans="1:4" ht="18.75" x14ac:dyDescent="0.25">
      <c r="A890" s="82"/>
      <c r="B890" s="110"/>
      <c r="C890" s="83"/>
      <c r="D890" s="67"/>
    </row>
    <row r="891" spans="1:4" ht="18.75" x14ac:dyDescent="0.25">
      <c r="A891" s="82"/>
      <c r="B891" s="110"/>
      <c r="C891" s="83"/>
      <c r="D891" s="67"/>
    </row>
    <row r="892" spans="1:4" ht="18.75" x14ac:dyDescent="0.25">
      <c r="A892" s="82"/>
      <c r="B892" s="110"/>
      <c r="C892" s="83"/>
      <c r="D892" s="67"/>
    </row>
    <row r="893" spans="1:4" ht="18.75" x14ac:dyDescent="0.25">
      <c r="A893" s="82"/>
      <c r="B893" s="110"/>
      <c r="C893" s="83"/>
      <c r="D893" s="67"/>
    </row>
    <row r="894" spans="1:4" ht="18.75" x14ac:dyDescent="0.25">
      <c r="A894" s="82"/>
      <c r="B894" s="110"/>
      <c r="C894" s="83"/>
      <c r="D894" s="67"/>
    </row>
    <row r="895" spans="1:4" ht="18.75" x14ac:dyDescent="0.25">
      <c r="A895" s="82"/>
      <c r="B895" s="110"/>
      <c r="C895" s="83"/>
      <c r="D895" s="67"/>
    </row>
    <row r="896" spans="1:4" ht="18.75" x14ac:dyDescent="0.25">
      <c r="A896" s="82"/>
      <c r="B896" s="110"/>
      <c r="C896" s="83"/>
      <c r="D896" s="67"/>
    </row>
    <row r="897" spans="1:4" ht="18.75" x14ac:dyDescent="0.25">
      <c r="A897" s="82"/>
      <c r="B897" s="110"/>
      <c r="C897" s="83"/>
      <c r="D897" s="67"/>
    </row>
    <row r="898" spans="1:4" ht="18.75" x14ac:dyDescent="0.25">
      <c r="A898" s="82"/>
      <c r="B898" s="110"/>
      <c r="C898" s="83"/>
      <c r="D898" s="67"/>
    </row>
    <row r="899" spans="1:4" ht="18.75" x14ac:dyDescent="0.25">
      <c r="A899" s="82"/>
      <c r="B899" s="110"/>
      <c r="C899" s="83"/>
      <c r="D899" s="67"/>
    </row>
    <row r="900" spans="1:4" ht="18.75" x14ac:dyDescent="0.25">
      <c r="A900" s="82"/>
      <c r="B900" s="110"/>
      <c r="C900" s="83"/>
      <c r="D900" s="67"/>
    </row>
    <row r="901" spans="1:4" ht="18.75" x14ac:dyDescent="0.25">
      <c r="A901" s="82"/>
      <c r="B901" s="110"/>
      <c r="C901" s="83"/>
      <c r="D901" s="67"/>
    </row>
    <row r="902" spans="1:4" ht="18.75" x14ac:dyDescent="0.25">
      <c r="A902" s="82"/>
      <c r="B902" s="110"/>
      <c r="C902" s="83"/>
      <c r="D902" s="67"/>
    </row>
    <row r="903" spans="1:4" ht="18.75" x14ac:dyDescent="0.25">
      <c r="A903" s="82"/>
      <c r="B903" s="110"/>
      <c r="C903" s="83"/>
      <c r="D903" s="67"/>
    </row>
    <row r="904" spans="1:4" ht="18.75" x14ac:dyDescent="0.25">
      <c r="A904" s="82"/>
      <c r="B904" s="110"/>
      <c r="C904" s="83"/>
      <c r="D904" s="67"/>
    </row>
    <row r="905" spans="1:4" ht="18.75" x14ac:dyDescent="0.25">
      <c r="A905" s="82"/>
      <c r="B905" s="110"/>
      <c r="C905" s="83"/>
      <c r="D905" s="67"/>
    </row>
    <row r="906" spans="1:4" ht="18.75" x14ac:dyDescent="0.25">
      <c r="A906" s="82"/>
      <c r="B906" s="110"/>
      <c r="C906" s="83"/>
      <c r="D906" s="67"/>
    </row>
    <row r="907" spans="1:4" ht="18.75" x14ac:dyDescent="0.25">
      <c r="A907" s="82"/>
      <c r="B907" s="110"/>
      <c r="C907" s="83"/>
      <c r="D907" s="67"/>
    </row>
    <row r="908" spans="1:4" ht="18.75" x14ac:dyDescent="0.25">
      <c r="A908" s="82"/>
      <c r="B908" s="110"/>
      <c r="C908" s="83"/>
      <c r="D908" s="67"/>
    </row>
    <row r="909" spans="1:4" ht="18.75" x14ac:dyDescent="0.25">
      <c r="A909" s="82"/>
      <c r="B909" s="110"/>
      <c r="C909" s="83"/>
      <c r="D909" s="67"/>
    </row>
    <row r="910" spans="1:4" ht="18.75" x14ac:dyDescent="0.25">
      <c r="A910" s="82"/>
      <c r="B910" s="110"/>
      <c r="C910" s="83"/>
      <c r="D910" s="67"/>
    </row>
    <row r="911" spans="1:4" ht="18.75" x14ac:dyDescent="0.25">
      <c r="A911" s="82"/>
      <c r="B911" s="110"/>
      <c r="C911" s="83"/>
      <c r="D911" s="67"/>
    </row>
    <row r="912" spans="1:4" ht="18.75" x14ac:dyDescent="0.25">
      <c r="A912" s="82"/>
      <c r="B912" s="110"/>
      <c r="C912" s="83"/>
      <c r="D912" s="67"/>
    </row>
    <row r="913" spans="1:4" ht="18.75" x14ac:dyDescent="0.25">
      <c r="A913" s="82"/>
      <c r="B913" s="110"/>
      <c r="C913" s="83"/>
      <c r="D913" s="67"/>
    </row>
    <row r="914" spans="1:4" ht="18.75" x14ac:dyDescent="0.25">
      <c r="A914" s="82"/>
      <c r="B914" s="110"/>
      <c r="C914" s="83"/>
      <c r="D914" s="67"/>
    </row>
    <row r="915" spans="1:4" ht="18.75" x14ac:dyDescent="0.25">
      <c r="A915" s="82"/>
      <c r="B915" s="110"/>
      <c r="C915" s="83"/>
      <c r="D915" s="67"/>
    </row>
    <row r="916" spans="1:4" ht="18.75" x14ac:dyDescent="0.25">
      <c r="A916" s="82"/>
      <c r="B916" s="110"/>
      <c r="C916" s="83"/>
      <c r="D916" s="67"/>
    </row>
    <row r="917" spans="1:4" ht="18.75" x14ac:dyDescent="0.25">
      <c r="A917" s="82"/>
      <c r="B917" s="110"/>
      <c r="C917" s="83"/>
      <c r="D917" s="67"/>
    </row>
    <row r="918" spans="1:4" ht="18.75" x14ac:dyDescent="0.25">
      <c r="A918" s="82"/>
      <c r="B918" s="110"/>
      <c r="C918" s="83"/>
      <c r="D918" s="67"/>
    </row>
    <row r="919" spans="1:4" ht="18.75" x14ac:dyDescent="0.25">
      <c r="A919" s="82"/>
      <c r="B919" s="110"/>
      <c r="C919" s="83"/>
      <c r="D919" s="67"/>
    </row>
    <row r="920" spans="1:4" ht="18.75" x14ac:dyDescent="0.25">
      <c r="A920" s="82"/>
      <c r="B920" s="110"/>
      <c r="C920" s="83"/>
      <c r="D920" s="67"/>
    </row>
    <row r="921" spans="1:4" ht="18.75" x14ac:dyDescent="0.25">
      <c r="A921" s="82"/>
      <c r="B921" s="110"/>
      <c r="C921" s="83"/>
      <c r="D921" s="67"/>
    </row>
    <row r="922" spans="1:4" ht="18.75" x14ac:dyDescent="0.25">
      <c r="A922" s="82"/>
      <c r="B922" s="110"/>
      <c r="C922" s="83"/>
      <c r="D922" s="67"/>
    </row>
    <row r="923" spans="1:4" ht="18.75" x14ac:dyDescent="0.25">
      <c r="A923" s="82"/>
      <c r="B923" s="110"/>
      <c r="C923" s="83"/>
      <c r="D923" s="67"/>
    </row>
    <row r="924" spans="1:4" ht="18.75" x14ac:dyDescent="0.25">
      <c r="A924" s="82"/>
      <c r="B924" s="110"/>
      <c r="C924" s="83"/>
      <c r="D924" s="67"/>
    </row>
    <row r="925" spans="1:4" ht="18.75" x14ac:dyDescent="0.25">
      <c r="A925" s="82"/>
      <c r="B925" s="110"/>
      <c r="C925" s="83"/>
      <c r="D925" s="67"/>
    </row>
    <row r="926" spans="1:4" ht="18.75" x14ac:dyDescent="0.25">
      <c r="A926" s="82"/>
      <c r="B926" s="110"/>
      <c r="C926" s="83"/>
      <c r="D926" s="67"/>
    </row>
    <row r="927" spans="1:4" ht="18.75" x14ac:dyDescent="0.25">
      <c r="A927" s="82"/>
      <c r="B927" s="110"/>
      <c r="C927" s="83"/>
      <c r="D927" s="67"/>
    </row>
    <row r="928" spans="1:4" ht="18.75" x14ac:dyDescent="0.25">
      <c r="A928" s="82"/>
      <c r="B928" s="110"/>
      <c r="C928" s="83"/>
      <c r="D928" s="67"/>
    </row>
    <row r="929" spans="1:4" ht="18.75" x14ac:dyDescent="0.25">
      <c r="A929" s="82"/>
      <c r="B929" s="110"/>
      <c r="C929" s="83"/>
      <c r="D929" s="67"/>
    </row>
    <row r="930" spans="1:4" ht="18.75" x14ac:dyDescent="0.25">
      <c r="A930" s="82"/>
      <c r="B930" s="110"/>
      <c r="C930" s="83"/>
      <c r="D930" s="67"/>
    </row>
    <row r="931" spans="1:4" ht="18.75" x14ac:dyDescent="0.25">
      <c r="A931" s="82"/>
      <c r="B931" s="110"/>
      <c r="C931" s="83"/>
      <c r="D931" s="67"/>
    </row>
    <row r="932" spans="1:4" ht="18.75" x14ac:dyDescent="0.25">
      <c r="A932" s="82"/>
      <c r="B932" s="110"/>
      <c r="C932" s="83"/>
      <c r="D932" s="67"/>
    </row>
    <row r="933" spans="1:4" ht="18.75" x14ac:dyDescent="0.25">
      <c r="A933" s="82"/>
      <c r="B933" s="110"/>
      <c r="C933" s="83"/>
      <c r="D933" s="67"/>
    </row>
    <row r="934" spans="1:4" ht="18.75" x14ac:dyDescent="0.25">
      <c r="A934" s="82"/>
      <c r="B934" s="110"/>
      <c r="C934" s="83"/>
      <c r="D934" s="67"/>
    </row>
    <row r="935" spans="1:4" ht="18.75" x14ac:dyDescent="0.25">
      <c r="A935" s="82"/>
      <c r="B935" s="110"/>
      <c r="C935" s="83"/>
      <c r="D935" s="67"/>
    </row>
    <row r="936" spans="1:4" ht="18.75" x14ac:dyDescent="0.25">
      <c r="A936" s="82"/>
      <c r="B936" s="110"/>
      <c r="C936" s="83"/>
      <c r="D936" s="67"/>
    </row>
    <row r="937" spans="1:4" ht="18.75" x14ac:dyDescent="0.25">
      <c r="A937" s="82"/>
      <c r="B937" s="110"/>
      <c r="C937" s="83"/>
      <c r="D937" s="67"/>
    </row>
    <row r="938" spans="1:4" ht="18.75" x14ac:dyDescent="0.25">
      <c r="A938" s="82"/>
      <c r="B938" s="110"/>
      <c r="C938" s="83"/>
      <c r="D938" s="67"/>
    </row>
    <row r="939" spans="1:4" ht="18.75" x14ac:dyDescent="0.25">
      <c r="A939" s="82"/>
      <c r="B939" s="110"/>
      <c r="C939" s="83"/>
      <c r="D939" s="67"/>
    </row>
    <row r="940" spans="1:4" ht="18.75" x14ac:dyDescent="0.25">
      <c r="A940" s="82"/>
      <c r="B940" s="110"/>
      <c r="C940" s="83"/>
      <c r="D940" s="67"/>
    </row>
    <row r="941" spans="1:4" ht="18.75" x14ac:dyDescent="0.25">
      <c r="A941" s="82"/>
      <c r="B941" s="110"/>
      <c r="C941" s="83"/>
      <c r="D941" s="67"/>
    </row>
    <row r="942" spans="1:4" ht="18.75" x14ac:dyDescent="0.25">
      <c r="A942" s="82"/>
      <c r="B942" s="110"/>
      <c r="C942" s="83"/>
      <c r="D942" s="67"/>
    </row>
    <row r="943" spans="1:4" ht="18.75" x14ac:dyDescent="0.25">
      <c r="A943" s="82"/>
      <c r="B943" s="110"/>
      <c r="C943" s="83"/>
      <c r="D943" s="67"/>
    </row>
    <row r="944" spans="1:4" ht="18.75" x14ac:dyDescent="0.25">
      <c r="A944" s="82"/>
      <c r="B944" s="110"/>
      <c r="C944" s="83"/>
      <c r="D944" s="67"/>
    </row>
    <row r="945" spans="1:4" ht="18.75" x14ac:dyDescent="0.25">
      <c r="A945" s="82"/>
      <c r="B945" s="110"/>
      <c r="C945" s="83"/>
      <c r="D945" s="67"/>
    </row>
    <row r="946" spans="1:4" ht="18.75" x14ac:dyDescent="0.25">
      <c r="A946" s="82"/>
      <c r="B946" s="110"/>
      <c r="C946" s="83"/>
      <c r="D946" s="67"/>
    </row>
    <row r="947" spans="1:4" ht="18.75" x14ac:dyDescent="0.25">
      <c r="A947" s="82"/>
      <c r="B947" s="110"/>
      <c r="C947" s="83"/>
      <c r="D947" s="67"/>
    </row>
    <row r="948" spans="1:4" ht="18.75" x14ac:dyDescent="0.25">
      <c r="A948" s="82"/>
      <c r="B948" s="110"/>
      <c r="C948" s="83"/>
      <c r="D948" s="67"/>
    </row>
    <row r="949" spans="1:4" ht="18.75" x14ac:dyDescent="0.25">
      <c r="A949" s="82"/>
      <c r="B949" s="110"/>
      <c r="C949" s="83"/>
      <c r="D949" s="67"/>
    </row>
    <row r="950" spans="1:4" ht="18.75" x14ac:dyDescent="0.25">
      <c r="A950" s="82"/>
      <c r="B950" s="110"/>
      <c r="C950" s="83"/>
      <c r="D950" s="67"/>
    </row>
    <row r="951" spans="1:4" ht="18.75" x14ac:dyDescent="0.25">
      <c r="A951" s="82"/>
      <c r="B951" s="110"/>
      <c r="C951" s="83"/>
      <c r="D951" s="67"/>
    </row>
    <row r="952" spans="1:4" ht="18.75" x14ac:dyDescent="0.25">
      <c r="A952" s="82"/>
      <c r="B952" s="110"/>
      <c r="C952" s="83"/>
      <c r="D952" s="67"/>
    </row>
    <row r="953" spans="1:4" ht="18.75" x14ac:dyDescent="0.25">
      <c r="A953" s="82"/>
      <c r="B953" s="110"/>
      <c r="C953" s="83"/>
      <c r="D953" s="67"/>
    </row>
    <row r="954" spans="1:4" ht="18.75" x14ac:dyDescent="0.25">
      <c r="A954" s="82"/>
      <c r="B954" s="110"/>
      <c r="C954" s="83"/>
      <c r="D954" s="67"/>
    </row>
    <row r="955" spans="1:4" ht="18.75" x14ac:dyDescent="0.25">
      <c r="A955" s="82"/>
      <c r="B955" s="110"/>
      <c r="C955" s="83"/>
      <c r="D955" s="67"/>
    </row>
    <row r="956" spans="1:4" ht="18.75" x14ac:dyDescent="0.25">
      <c r="A956" s="82"/>
      <c r="B956" s="110"/>
      <c r="C956" s="83"/>
      <c r="D956" s="67"/>
    </row>
    <row r="957" spans="1:4" ht="18.75" x14ac:dyDescent="0.25">
      <c r="A957" s="82"/>
      <c r="B957" s="110"/>
      <c r="C957" s="83"/>
      <c r="D957" s="67"/>
    </row>
    <row r="958" spans="1:4" ht="18.75" x14ac:dyDescent="0.25">
      <c r="A958" s="82"/>
      <c r="B958" s="110"/>
      <c r="C958" s="83"/>
      <c r="D958" s="67"/>
    </row>
    <row r="959" spans="1:4" ht="18.75" x14ac:dyDescent="0.25">
      <c r="A959" s="82"/>
      <c r="B959" s="110"/>
      <c r="C959" s="83"/>
      <c r="D959" s="67"/>
    </row>
    <row r="960" spans="1:4" ht="18.75" x14ac:dyDescent="0.25">
      <c r="A960" s="82"/>
      <c r="B960" s="110"/>
      <c r="C960" s="83"/>
      <c r="D960" s="67"/>
    </row>
    <row r="961" spans="1:4" ht="18.75" x14ac:dyDescent="0.25">
      <c r="A961" s="82"/>
      <c r="B961" s="110"/>
      <c r="C961" s="83"/>
      <c r="D961" s="67"/>
    </row>
    <row r="962" spans="1:4" ht="18.75" x14ac:dyDescent="0.25">
      <c r="A962" s="82"/>
      <c r="B962" s="110"/>
      <c r="C962" s="83"/>
      <c r="D962" s="67"/>
    </row>
    <row r="963" spans="1:4" ht="18.75" x14ac:dyDescent="0.25">
      <c r="A963" s="82"/>
      <c r="B963" s="110"/>
      <c r="C963" s="83"/>
      <c r="D963" s="67"/>
    </row>
    <row r="964" spans="1:4" ht="18.75" x14ac:dyDescent="0.25">
      <c r="A964" s="82"/>
      <c r="B964" s="110"/>
      <c r="C964" s="83"/>
      <c r="D964" s="67"/>
    </row>
    <row r="965" spans="1:4" ht="18.75" x14ac:dyDescent="0.25">
      <c r="A965" s="82"/>
      <c r="B965" s="110"/>
      <c r="C965" s="83"/>
      <c r="D965" s="67"/>
    </row>
    <row r="966" spans="1:4" ht="18.75" x14ac:dyDescent="0.25">
      <c r="A966" s="82"/>
      <c r="B966" s="110"/>
      <c r="C966" s="83"/>
      <c r="D966" s="67"/>
    </row>
    <row r="967" spans="1:4" ht="18.75" x14ac:dyDescent="0.25">
      <c r="A967" s="82"/>
      <c r="B967" s="110"/>
      <c r="C967" s="83"/>
      <c r="D967" s="67"/>
    </row>
    <row r="968" spans="1:4" ht="18.75" x14ac:dyDescent="0.25">
      <c r="A968" s="82"/>
      <c r="B968" s="110"/>
      <c r="C968" s="83"/>
      <c r="D968" s="67"/>
    </row>
    <row r="969" spans="1:4" ht="18.75" x14ac:dyDescent="0.25">
      <c r="A969" s="82"/>
      <c r="B969" s="110"/>
      <c r="C969" s="83"/>
      <c r="D969" s="67"/>
    </row>
    <row r="970" spans="1:4" ht="18.75" x14ac:dyDescent="0.25">
      <c r="A970" s="82"/>
      <c r="B970" s="110"/>
      <c r="C970" s="83"/>
      <c r="D970" s="67"/>
    </row>
    <row r="971" spans="1:4" ht="18.75" x14ac:dyDescent="0.25">
      <c r="A971" s="82"/>
      <c r="B971" s="110"/>
      <c r="C971" s="83"/>
      <c r="D971" s="67"/>
    </row>
    <row r="972" spans="1:4" ht="18.75" x14ac:dyDescent="0.25">
      <c r="A972" s="82"/>
      <c r="B972" s="110"/>
      <c r="C972" s="83"/>
      <c r="D972" s="67"/>
    </row>
    <row r="973" spans="1:4" ht="18.75" x14ac:dyDescent="0.25">
      <c r="A973" s="82"/>
      <c r="B973" s="110"/>
      <c r="C973" s="83"/>
      <c r="D973" s="67"/>
    </row>
  </sheetData>
  <customSheetViews>
    <customSheetView guid="{EBC24015-BDAE-4979-A49F-AD3A852B863B}" filter="1" showAutoFilter="1">
      <pageMargins left="0.7" right="0.7" top="0.75" bottom="0.75" header="0.3" footer="0.3"/>
      <autoFilter ref="F1:F468" xr:uid="{E5E8AEC1-A31A-4E02-977C-5A9E0BDBF7D9}"/>
    </customSheetView>
    <customSheetView guid="{F2316398-B840-49F0-A7DF-9B65DA83C9FC}" filter="1" showAutoFilter="1">
      <pageMargins left="0.7" right="0.7" top="0.75" bottom="0.75" header="0.3" footer="0.3"/>
      <autoFilter ref="F1" xr:uid="{53A01C38-7BFB-4E58-BA6D-39FE3076CBD6}"/>
    </customSheetView>
  </customSheetViews>
  <mergeCells count="109">
    <mergeCell ref="A128:B128"/>
    <mergeCell ref="A131:B131"/>
    <mergeCell ref="A137:B137"/>
    <mergeCell ref="A140:B140"/>
    <mergeCell ref="A143:B143"/>
    <mergeCell ref="A149:B149"/>
    <mergeCell ref="A155:B155"/>
    <mergeCell ref="A276:B276"/>
    <mergeCell ref="A94:B94"/>
    <mergeCell ref="A107:B107"/>
    <mergeCell ref="A108:B108"/>
    <mergeCell ref="A111:B111"/>
    <mergeCell ref="A112:B112"/>
    <mergeCell ref="A115:B115"/>
    <mergeCell ref="A118:B118"/>
    <mergeCell ref="A123:B123"/>
    <mergeCell ref="A124:B124"/>
    <mergeCell ref="A247:B247"/>
    <mergeCell ref="A250:B250"/>
    <mergeCell ref="A254:B254"/>
    <mergeCell ref="A261:B261"/>
    <mergeCell ref="A265:B265"/>
    <mergeCell ref="A267:B267"/>
    <mergeCell ref="A268:B268"/>
    <mergeCell ref="A64:B64"/>
    <mergeCell ref="A68:B68"/>
    <mergeCell ref="A72:B72"/>
    <mergeCell ref="A75:B75"/>
    <mergeCell ref="A77:B77"/>
    <mergeCell ref="A78:B78"/>
    <mergeCell ref="A87:B87"/>
    <mergeCell ref="A89:B89"/>
    <mergeCell ref="A93:B93"/>
    <mergeCell ref="A23:B23"/>
    <mergeCell ref="A28:B28"/>
    <mergeCell ref="A33:B33"/>
    <mergeCell ref="A35:B35"/>
    <mergeCell ref="A38:B38"/>
    <mergeCell ref="A58:B58"/>
    <mergeCell ref="A59:B59"/>
    <mergeCell ref="A61:B61"/>
    <mergeCell ref="A63:B63"/>
    <mergeCell ref="A2:B2"/>
    <mergeCell ref="A4:B4"/>
    <mergeCell ref="A5:B5"/>
    <mergeCell ref="A6:B6"/>
    <mergeCell ref="A7:B7"/>
    <mergeCell ref="A13:B13"/>
    <mergeCell ref="A17:B17"/>
    <mergeCell ref="A15:B15"/>
    <mergeCell ref="A18:B18"/>
    <mergeCell ref="A434:B434"/>
    <mergeCell ref="A435:B435"/>
    <mergeCell ref="A485:B485"/>
    <mergeCell ref="A486:B486"/>
    <mergeCell ref="A500:B500"/>
    <mergeCell ref="A438:B438"/>
    <mergeCell ref="A441:B441"/>
    <mergeCell ref="A443:B443"/>
    <mergeCell ref="A449:B449"/>
    <mergeCell ref="A453:B453"/>
    <mergeCell ref="A456:B456"/>
    <mergeCell ref="A468:B468"/>
    <mergeCell ref="A392:B392"/>
    <mergeCell ref="A399:B399"/>
    <mergeCell ref="A420:B420"/>
    <mergeCell ref="A421:B421"/>
    <mergeCell ref="A424:B424"/>
    <mergeCell ref="A425:B425"/>
    <mergeCell ref="A428:B428"/>
    <mergeCell ref="A430:B430"/>
    <mergeCell ref="A331:B331"/>
    <mergeCell ref="A332:B332"/>
    <mergeCell ref="A337:B337"/>
    <mergeCell ref="A342:B342"/>
    <mergeCell ref="A343:B343"/>
    <mergeCell ref="A366:B366"/>
    <mergeCell ref="A374:B374"/>
    <mergeCell ref="A295:B295"/>
    <mergeCell ref="A297:B297"/>
    <mergeCell ref="A298:B298"/>
    <mergeCell ref="A302:B302"/>
    <mergeCell ref="A304:B304"/>
    <mergeCell ref="A307:B307"/>
    <mergeCell ref="A310:B310"/>
    <mergeCell ref="A312:B312"/>
    <mergeCell ref="A281:B281"/>
    <mergeCell ref="A283:B283"/>
    <mergeCell ref="A288:B288"/>
    <mergeCell ref="A291:B291"/>
    <mergeCell ref="A293:B293"/>
    <mergeCell ref="A204:B204"/>
    <mergeCell ref="A226:B226"/>
    <mergeCell ref="A229:B229"/>
    <mergeCell ref="A230:B230"/>
    <mergeCell ref="A231:B231"/>
    <mergeCell ref="A236:B236"/>
    <mergeCell ref="A240:B240"/>
    <mergeCell ref="A243:B243"/>
    <mergeCell ref="A245:B245"/>
    <mergeCell ref="A162:B162"/>
    <mergeCell ref="A165:B165"/>
    <mergeCell ref="A167:B167"/>
    <mergeCell ref="A191:B191"/>
    <mergeCell ref="A195:B195"/>
    <mergeCell ref="A197:B197"/>
    <mergeCell ref="A199:B199"/>
    <mergeCell ref="A201:B201"/>
    <mergeCell ref="A202:B202"/>
  </mergeCells>
  <dataValidations count="1">
    <dataValidation type="list" allowBlank="1" showErrorMessage="1" sqref="D6:D7 D9 D12 D14:D27 D30 D32 D34 D37:D40 D42:D44 D46:D48 D51 D53:D54 D56 D59:D60 D62 D64:D66 D69:D80 D83:D84 D87:D88 D90:D91 D93:D97 D99 D102:D104 D106 D108:D110 D112 D114:D115 D117:D119 D121:D123 D125:D128 D130:D131 D133:D145 D147:D149 D151 D153:D154 D157 D159:D174 D176:D177 D180 D183 D185:D187 D189:D190 D192:D195 D197:D198 D201:D205 D207 D209:D214 D217:D219 D221:D223 D225:D228 D230:D231 D233 D235 D237 D240:D242 D244 D246:D247 D249 D251:D271 D274:D277 D279:D282 D285:D304 D306:D307 D309 D311:D318 D320:D326 D328:D347 D350:D351 D354 D356:D360 D362 D364:D367 D369 D372:D373 D375:D379 D381 D383:D386 D388 D390:D397 D399:D405 D407:D409 D411:D416 D418:D422 D424:D439 D443:D447 D449:D451 D453 D456 D458:D461 D463:D465" xr:uid="{00000000-0002-0000-0000-000000000000}">
      <formula1>"Достаточно,Ожидается,Мало"</formula1>
    </dataValidation>
  </dataValidations>
  <hyperlinks>
    <hyperlink ref="B1" r:id="rId1" xr:uid="{00000000-0004-0000-0000-000000000000}"/>
  </hyperlinks>
  <printOptions horizontalCentered="1" gridLines="1"/>
  <pageMargins left="0.25" right="0.25" top="0.75" bottom="0.75" header="0" footer="0"/>
  <pageSetup paperSize="9"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вид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krich</dc:creator>
  <cp:lastModifiedBy>Пользователь Windows</cp:lastModifiedBy>
  <dcterms:created xsi:type="dcterms:W3CDTF">2025-02-25T11:32:55Z</dcterms:created>
  <dcterms:modified xsi:type="dcterms:W3CDTF">2025-03-11T08:17:33Z</dcterms:modified>
</cp:coreProperties>
</file>